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roduction" sheetId="1" r:id="rId1"/>
    <sheet name="Summary of results" sheetId="2" r:id="rId2"/>
    <sheet name="the model" sheetId="3" r:id="rId3"/>
    <sheet name="Tables from paper" sheetId="4" r:id="rId4"/>
    <sheet name="data" sheetId="5" r:id="rId5"/>
  </sheets>
  <definedNames>
    <definedName name="a">'the model'!$C$23</definedName>
    <definedName name="b">'the model'!$C$24</definedName>
    <definedName name="cs">'the model'!$C$22</definedName>
    <definedName name="DemandElasticity">'the model'!$C$10</definedName>
    <definedName name="ExportsCIF">'the model'!$C$6</definedName>
    <definedName name="ExportsFOB">'the model'!$C$5</definedName>
    <definedName name="ImportsCIF">'the model'!$C$8</definedName>
    <definedName name="ImportsFOB">'the model'!$C$7</definedName>
    <definedName name="MarketPower">'the model'!$C$12</definedName>
    <definedName name="PC">'the model'!$C$16</definedName>
    <definedName name="PP">'the model'!$C$17</definedName>
    <definedName name="PS">'the model'!$C$18</definedName>
    <definedName name="Q">'the model'!$C$19</definedName>
    <definedName name="SupplyElasticity">'the model'!$C$11</definedName>
    <definedName name="Tariff">'the model'!$C$9</definedName>
    <definedName name="x">'the model'!$C$20</definedName>
    <definedName name="y">'the model'!$C$21</definedName>
  </definedNames>
  <calcPr fullCalcOnLoad="1"/>
</workbook>
</file>

<file path=xl/sharedStrings.xml><?xml version="1.0" encoding="utf-8"?>
<sst xmlns="http://schemas.openxmlformats.org/spreadsheetml/2006/main" count="337" uniqueCount="159">
  <si>
    <t>Tariff rate on exports</t>
  </si>
  <si>
    <t>Point estimate of export demand elasticity</t>
  </si>
  <si>
    <t>Market power index for shipping industry</t>
  </si>
  <si>
    <t>Benchmark Values</t>
  </si>
  <si>
    <t>Calibrated Values</t>
  </si>
  <si>
    <t>constant term in import demand price equation</t>
  </si>
  <si>
    <t>slope of import demand price equation</t>
  </si>
  <si>
    <t>cost rate for shippers</t>
  </si>
  <si>
    <t>constant term in export supply price equation</t>
  </si>
  <si>
    <t>slope of export supply price equation</t>
  </si>
  <si>
    <t>price, inclusive of all margins, is 1.)</t>
  </si>
  <si>
    <t>(note:  for calibration, unit quantities are defined so that the delivered</t>
  </si>
  <si>
    <t>benchmark quantity</t>
  </si>
  <si>
    <t>benchmark consumer price</t>
  </si>
  <si>
    <t>benchmark producer price</t>
  </si>
  <si>
    <t>benchmark shipper price</t>
  </si>
  <si>
    <t xml:space="preserve"> </t>
  </si>
  <si>
    <t>Experiments</t>
  </si>
  <si>
    <t>original</t>
  </si>
  <si>
    <t>counter-factual</t>
  </si>
  <si>
    <t>Value of exports f.o.b. basis</t>
  </si>
  <si>
    <t>Value of exports c.i.f. basis</t>
  </si>
  <si>
    <t>Cost of shipping</t>
  </si>
  <si>
    <t>consumer prices</t>
  </si>
  <si>
    <t>producer prices</t>
  </si>
  <si>
    <t>shipper prices</t>
  </si>
  <si>
    <t>quantity</t>
  </si>
  <si>
    <t>GDP</t>
  </si>
  <si>
    <t>Point estimate of export supply elasticity</t>
  </si>
  <si>
    <t>A model of exports with an oligopolistic shipping sector</t>
  </si>
  <si>
    <t>change</t>
  </si>
  <si>
    <t>Real income percent change</t>
  </si>
  <si>
    <t>This spreadhsheet provides a simple computational model of trade in a model</t>
  </si>
  <si>
    <t>where shipping, on the export sector, can be characterized as imperfectly</t>
  </si>
  <si>
    <t>The next tab provides a basic summary of results from experiments, while the</t>
  </si>
  <si>
    <t>third tab of this notebook provides the model itself.  Three types of experiments</t>
  </si>
  <si>
    <t>(1)  a change in the degree of competition in the shipping sector</t>
  </si>
  <si>
    <t>(2)  a change in the cost of shipping (from efficiency or other effects distinct from</t>
  </si>
  <si>
    <t xml:space="preserve">      experiment (1).</t>
  </si>
  <si>
    <t>(3)  a change in tariffs</t>
  </si>
  <si>
    <t>Data</t>
  </si>
  <si>
    <t>1 SSAFRICA</t>
  </si>
  <si>
    <t>2 SASIA</t>
  </si>
  <si>
    <t>3 LAMERICA</t>
  </si>
  <si>
    <t>4 ROW</t>
  </si>
  <si>
    <t>Total</t>
  </si>
  <si>
    <t>1 fact</t>
  </si>
  <si>
    <t>2 tax</t>
  </si>
  <si>
    <t>3 depr</t>
  </si>
  <si>
    <t>Model data -- thousands of 1995 dollars</t>
  </si>
  <si>
    <t>1 food</t>
  </si>
  <si>
    <t>2 mnfc</t>
  </si>
  <si>
    <t>3 serv</t>
  </si>
  <si>
    <t>SSAfrica Exports</t>
  </si>
  <si>
    <t>cif</t>
  </si>
  <si>
    <t>SAsia Exports</t>
  </si>
  <si>
    <t>Lamerica Exports</t>
  </si>
  <si>
    <t>fob</t>
  </si>
  <si>
    <t>post-UR tariffs (in dollars) on exports by destination</t>
  </si>
  <si>
    <t>Shipping margin</t>
  </si>
  <si>
    <t>Index (base=1.00)</t>
  </si>
  <si>
    <t>variables to change</t>
  </si>
  <si>
    <t>results</t>
  </si>
  <si>
    <t>Equivalent variation</t>
  </si>
  <si>
    <t>SSAFRICA</t>
  </si>
  <si>
    <t>SASIA</t>
  </si>
  <si>
    <t>LAMERICA</t>
  </si>
  <si>
    <t>GDP (thousands of dollars)</t>
  </si>
  <si>
    <t>Base</t>
  </si>
  <si>
    <t>Counter-factual</t>
  </si>
  <si>
    <t>Price of shipping (percent margin)</t>
  </si>
  <si>
    <t>Cost of shipping (percent margin)</t>
  </si>
  <si>
    <t>National income</t>
  </si>
  <si>
    <t>Shipping markups</t>
  </si>
  <si>
    <t>National income change</t>
  </si>
  <si>
    <t>Export prices</t>
  </si>
  <si>
    <t>ROW Exports</t>
  </si>
  <si>
    <t>Value of imports f.o.b basis</t>
  </si>
  <si>
    <t>Value of imports c.i.f. basis</t>
  </si>
  <si>
    <t>Export tax equivalent of shipping margins</t>
  </si>
  <si>
    <t>Value of imports f.o.b. basis</t>
  </si>
  <si>
    <t>Export tax equivalent of shipping margin</t>
  </si>
  <si>
    <t>competitive.  The underlying theory follows from Francois and Wooton (1999)</t>
  </si>
  <si>
    <t>Calibration check</t>
  </si>
  <si>
    <t>calculated</t>
  </si>
  <si>
    <t>Pc</t>
  </si>
  <si>
    <t>Pp</t>
  </si>
  <si>
    <t>Ps</t>
  </si>
  <si>
    <t>Q</t>
  </si>
  <si>
    <t>actual</t>
  </si>
  <si>
    <t xml:space="preserve">   (0=perfect competition,  1=perfect collusion or monopoly)</t>
  </si>
  <si>
    <t>The basic idea is that the shipping industry effectively transforms exports into</t>
  </si>
  <si>
    <t>The shippers have market power, and so drive a wedge between the two countries</t>
  </si>
  <si>
    <t>involved in this set of transactions.  In general equilibirum, the relevant wedge for</t>
  </si>
  <si>
    <t>the exporter is the sum of import and export shipping/freight charges, as the</t>
  </si>
  <si>
    <t>The income effect of full 100 pecent reduction on tariffs in export markets</t>
  </si>
  <si>
    <t>Sub-Saharan and Southern Africa</t>
  </si>
  <si>
    <t>Latin America</t>
  </si>
  <si>
    <t>South Asia</t>
  </si>
  <si>
    <t>(share of 1995 GDP)</t>
  </si>
  <si>
    <t>Demand elasticity for exports (point estimate)</t>
  </si>
  <si>
    <t>Export supply elasticity (point estimate)</t>
  </si>
  <si>
    <t>source: Authors' estimates.</t>
  </si>
  <si>
    <t>exports as a share of GDP</t>
  </si>
  <si>
    <t>A:</t>
  </si>
  <si>
    <t>B:</t>
  </si>
  <si>
    <t>C:</t>
  </si>
  <si>
    <t>D=A*B</t>
  </si>
  <si>
    <t>E=(0.5)*B*C*A</t>
  </si>
  <si>
    <t>F=D+E</t>
  </si>
  <si>
    <r>
      <t xml:space="preserve">  (this is the </t>
    </r>
    <r>
      <rPr>
        <b/>
        <sz val="10"/>
        <color indexed="10"/>
        <rFont val="Arial"/>
        <family val="2"/>
      </rPr>
      <t>welfare rectangle</t>
    </r>
    <r>
      <rPr>
        <sz val="10"/>
        <rFont val="Arial"/>
        <family val="0"/>
      </rPr>
      <t>)</t>
    </r>
  </si>
  <si>
    <t>1) exports as a share of GDP valued at producer prices</t>
  </si>
  <si>
    <t>2) increase in export price</t>
  </si>
  <si>
    <t>3) increase in exports</t>
  </si>
  <si>
    <t>4) increase in export earnings as a share of GDP</t>
  </si>
  <si>
    <t>6) TOTAL</t>
  </si>
  <si>
    <t>Decomposition of welfare effects as a share of GDP</t>
  </si>
  <si>
    <t>tariffs on exports as a share of GDP</t>
  </si>
  <si>
    <t>n=4</t>
  </si>
  <si>
    <t>n=5</t>
  </si>
  <si>
    <t>n=10</t>
  </si>
  <si>
    <t>n=inf.</t>
  </si>
  <si>
    <t>n=2</t>
  </si>
  <si>
    <t>Inverse Index of competition (# of firms)</t>
  </si>
  <si>
    <t>Exports (f.o.b.)</t>
  </si>
  <si>
    <t>Exports (c.i.f.)</t>
  </si>
  <si>
    <t>Imports (f.o.b.)</t>
  </si>
  <si>
    <t>Imports (c.i.f.)</t>
  </si>
  <si>
    <t>Exports as a share of GDP</t>
  </si>
  <si>
    <t>Tariff on exports in export markets</t>
  </si>
  <si>
    <t>Tariff on exports as a share of GDP</t>
  </si>
  <si>
    <t>US $ millions 1995</t>
  </si>
  <si>
    <t>Trade and Income Data</t>
  </si>
  <si>
    <t>source: trade and GDP data are taken from the GTAP version 4 dataset.</t>
  </si>
  <si>
    <t>number of firms</t>
  </si>
  <si>
    <t>n=1</t>
  </si>
  <si>
    <t>RAW DATA FROM GTAP V 4</t>
  </si>
  <si>
    <t>Export tax equivalent on shipping</t>
  </si>
  <si>
    <t>(identity holds when Market Power=0)</t>
  </si>
  <si>
    <t>THE MODEL</t>
  </si>
  <si>
    <t>Decomposition</t>
  </si>
  <si>
    <t>Processed data (millions of dollars)</t>
  </si>
  <si>
    <t>perfect competition</t>
  </si>
  <si>
    <t>Sub-Saharan &amp; Southern Africa</t>
  </si>
  <si>
    <t>monopoly</t>
  </si>
  <si>
    <t>The Income Effect of Trade Liberalization (indexed to perfect competition)</t>
  </si>
  <si>
    <t>Export volumes</t>
  </si>
  <si>
    <t>The Effect of Trade Liberalization on Exports (percent change)</t>
  </si>
  <si>
    <t>price of shipping</t>
  </si>
  <si>
    <t>5) additional gains from increased exports</t>
  </si>
  <si>
    <r>
      <t xml:space="preserve">  (this is the </t>
    </r>
    <r>
      <rPr>
        <b/>
        <sz val="10"/>
        <color indexed="10"/>
        <rFont val="Arial"/>
        <family val="2"/>
      </rPr>
      <t>welfare triangle</t>
    </r>
    <r>
      <rPr>
        <sz val="10"/>
        <rFont val="Arial"/>
        <family val="0"/>
      </rPr>
      <t>)</t>
    </r>
  </si>
  <si>
    <t>The Effect of Trade Liberalization on Shipping Prices (percent change)</t>
  </si>
  <si>
    <t xml:space="preserve">Price of shipping  </t>
  </si>
  <si>
    <t>"Trade in International Transport Services: The Role of Competition," CEPR discussion paper forthcoming.</t>
  </si>
  <si>
    <t>are possible:</t>
  </si>
  <si>
    <t>Finally, the results and data from the Francois and Wooton paper are on the last two tabs.</t>
  </si>
  <si>
    <t>imports at the dock.  This is implemented here in a two traded-good model (imports and exports).</t>
  </si>
  <si>
    <t>sum of these affects the rate of transformation between exports and imports.</t>
  </si>
  <si>
    <t>Note:  experiments are specified in cells D32-34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</si>
</sst>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%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8"/>
      <color indexed="60"/>
      <name val="Arial"/>
      <family val="2"/>
    </font>
    <font>
      <sz val="9.2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9"/>
      <name val="Arial"/>
      <family val="0"/>
    </font>
    <font>
      <b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3" fillId="0" borderId="0" xfId="0" applyFont="1" applyAlignment="1">
      <alignment/>
    </xf>
    <xf numFmtId="16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10" fontId="0" fillId="0" borderId="2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9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0" fontId="0" fillId="0" borderId="6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35" xfId="0" applyFill="1" applyBorder="1" applyAlignment="1">
      <alignment/>
    </xf>
    <xf numFmtId="164" fontId="14" fillId="3" borderId="6" xfId="0" applyNumberFormat="1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2" fillId="2" borderId="39" xfId="0" applyFont="1" applyFill="1" applyBorder="1" applyAlignment="1">
      <alignment horizontal="right" wrapText="1"/>
    </xf>
    <xf numFmtId="164" fontId="10" fillId="0" borderId="4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0" fontId="12" fillId="2" borderId="41" xfId="0" applyFont="1" applyFill="1" applyBorder="1" applyAlignment="1">
      <alignment horizontal="right" wrapText="1"/>
    </xf>
    <xf numFmtId="0" fontId="10" fillId="0" borderId="42" xfId="0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2" fontId="10" fillId="0" borderId="42" xfId="0" applyNumberFormat="1" applyFont="1" applyBorder="1" applyAlignment="1">
      <alignment/>
    </xf>
    <xf numFmtId="2" fontId="10" fillId="0" borderId="44" xfId="0" applyNumberFormat="1" applyFont="1" applyBorder="1" applyAlignment="1">
      <alignment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2" fontId="10" fillId="0" borderId="7" xfId="0" applyNumberFormat="1" applyFont="1" applyBorder="1" applyAlignment="1">
      <alignment/>
    </xf>
    <xf numFmtId="0" fontId="0" fillId="2" borderId="4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5" xfId="0" applyFill="1" applyBorder="1" applyAlignment="1">
      <alignment/>
    </xf>
    <xf numFmtId="0" fontId="12" fillId="2" borderId="43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48" xfId="0" applyFont="1" applyBorder="1" applyAlignment="1">
      <alignment/>
    </xf>
    <xf numFmtId="2" fontId="10" fillId="0" borderId="48" xfId="0" applyNumberFormat="1" applyFont="1" applyBorder="1" applyAlignment="1">
      <alignment/>
    </xf>
    <xf numFmtId="0" fontId="0" fillId="2" borderId="30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2" fillId="2" borderId="3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4" xfId="0" applyFont="1" applyBorder="1" applyAlignment="1">
      <alignment/>
    </xf>
    <xf numFmtId="0" fontId="17" fillId="0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results'!$F$19</c:f>
              <c:strCache>
                <c:ptCount val="1"/>
                <c:pt idx="0">
                  <c:v>Shipping markups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results'!$G$18:$H$18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results'!$G$19:$H$19</c:f>
              <c:numCache>
                <c:ptCount val="2"/>
                <c:pt idx="0">
                  <c:v>1.536211414106295</c:v>
                </c:pt>
                <c:pt idx="1">
                  <c:v>1.6666620778784496</c:v>
                </c:pt>
              </c:numCache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results'!$F$40</c:f>
              <c:strCache>
                <c:ptCount val="1"/>
                <c:pt idx="0">
                  <c:v>Export prices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results'!$G$39:$H$39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results'!$G$40:$H$40</c:f>
              <c:numCache>
                <c:ptCount val="2"/>
                <c:pt idx="0">
                  <c:v>0.8638400735850398</c:v>
                </c:pt>
                <c:pt idx="1">
                  <c:v>0.934172277993602</c:v>
                </c:pt>
              </c:numCache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results'!$B$10</c:f>
              <c:strCache>
                <c:ptCount val="1"/>
                <c:pt idx="0">
                  <c:v>Export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results'!$C$2:$D$2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results'!$C$10:$D$10</c:f>
              <c:numCache>
                <c:ptCount val="2"/>
                <c:pt idx="0">
                  <c:v>100</c:v>
                </c:pt>
                <c:pt idx="1">
                  <c:v>128.49632969773708</c:v>
                </c:pt>
              </c:numCache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114300</xdr:rowOff>
    </xdr:from>
    <xdr:to>
      <xdr:col>10</xdr:col>
      <xdr:colOff>485775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610100" y="114300"/>
        <a:ext cx="4248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19</xdr:row>
      <xdr:rowOff>152400</xdr:rowOff>
    </xdr:from>
    <xdr:to>
      <xdr:col>10</xdr:col>
      <xdr:colOff>504825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629150" y="3514725"/>
        <a:ext cx="4248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19</xdr:row>
      <xdr:rowOff>152400</xdr:rowOff>
    </xdr:from>
    <xdr:to>
      <xdr:col>4</xdr:col>
      <xdr:colOff>400050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142875" y="3514725"/>
        <a:ext cx="4257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3" t="s">
        <v>29</v>
      </c>
    </row>
    <row r="4" ht="12.75">
      <c r="A4" t="s">
        <v>32</v>
      </c>
    </row>
    <row r="5" ht="12.75">
      <c r="A5" t="s">
        <v>33</v>
      </c>
    </row>
    <row r="6" ht="12.75">
      <c r="A6" t="s">
        <v>82</v>
      </c>
    </row>
    <row r="7" ht="12.75">
      <c r="A7" t="s">
        <v>153</v>
      </c>
    </row>
    <row r="8" ht="12.75">
      <c r="A8" t="s">
        <v>34</v>
      </c>
    </row>
    <row r="9" ht="12.75">
      <c r="A9" t="s">
        <v>35</v>
      </c>
    </row>
    <row r="10" ht="12.75">
      <c r="A10" t="s">
        <v>154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7" ht="12.75">
      <c r="A17" t="s">
        <v>155</v>
      </c>
    </row>
    <row r="19" ht="12.75">
      <c r="A19" t="s">
        <v>91</v>
      </c>
    </row>
    <row r="20" ht="12.75">
      <c r="A20" t="s">
        <v>156</v>
      </c>
    </row>
    <row r="21" ht="12.75">
      <c r="A21" t="s">
        <v>92</v>
      </c>
    </row>
    <row r="22" ht="12.75">
      <c r="A22" t="s">
        <v>93</v>
      </c>
    </row>
    <row r="23" ht="12.75">
      <c r="A23" t="s">
        <v>94</v>
      </c>
    </row>
    <row r="24" ht="12.75">
      <c r="A24" t="s">
        <v>157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0.00390625" style="0" customWidth="1"/>
    <col min="6" max="6" width="19.8515625" style="0" customWidth="1"/>
  </cols>
  <sheetData>
    <row r="2" spans="2:4" ht="25.5">
      <c r="B2" s="7" t="s">
        <v>40</v>
      </c>
      <c r="C2" s="7" t="s">
        <v>68</v>
      </c>
      <c r="D2" s="11" t="s">
        <v>69</v>
      </c>
    </row>
    <row r="3" spans="2:4" ht="12.75">
      <c r="B3" s="6" t="s">
        <v>72</v>
      </c>
      <c r="C3">
        <f>'the model'!C4</f>
        <v>1374401.6</v>
      </c>
      <c r="D3">
        <f>'the model'!D42</f>
        <v>1387706.739091279</v>
      </c>
    </row>
    <row r="4" spans="2:4" ht="12.75">
      <c r="B4" s="4" t="s">
        <v>20</v>
      </c>
      <c r="C4">
        <f>'the model'!C5</f>
        <v>143037.3</v>
      </c>
      <c r="D4">
        <f>'the model'!D38*'the model'!D40</f>
        <v>198762.1357530873</v>
      </c>
    </row>
    <row r="5" spans="2:4" ht="12.75">
      <c r="B5" s="4" t="s">
        <v>21</v>
      </c>
      <c r="C5">
        <f>'the model'!C6</f>
        <v>150832.9</v>
      </c>
      <c r="D5">
        <f>'the model'!D39*'the model'!D40</f>
        <v>218831.29260054292</v>
      </c>
    </row>
    <row r="6" spans="2:4" ht="12.75">
      <c r="B6" s="4" t="s">
        <v>0</v>
      </c>
      <c r="C6">
        <f>'the model'!C9</f>
        <v>0.05176655756138084</v>
      </c>
      <c r="D6">
        <f>'the model'!D32</f>
        <v>0</v>
      </c>
    </row>
    <row r="7" spans="2:4" ht="12.75">
      <c r="B7" s="4" t="s">
        <v>1</v>
      </c>
      <c r="C7">
        <f>'the model'!C10</f>
        <v>-10</v>
      </c>
      <c r="D7">
        <f>C7</f>
        <v>-10</v>
      </c>
    </row>
    <row r="8" spans="2:4" ht="12.75">
      <c r="B8" s="4" t="s">
        <v>28</v>
      </c>
      <c r="C8">
        <f>'the model'!C11</f>
        <v>3.5</v>
      </c>
      <c r="D8">
        <f>C8</f>
        <v>3.5</v>
      </c>
    </row>
    <row r="9" spans="2:4" ht="12.75">
      <c r="B9" s="4" t="s">
        <v>2</v>
      </c>
      <c r="C9">
        <f>'the model'!C12</f>
        <v>0.2</v>
      </c>
      <c r="D9">
        <f>'the model'!D33</f>
        <v>0.2</v>
      </c>
    </row>
    <row r="10" spans="2:4" ht="12.75">
      <c r="B10" s="4" t="s">
        <v>146</v>
      </c>
      <c r="C10">
        <v>100</v>
      </c>
      <c r="D10">
        <f>'the model'!F40*100+100</f>
        <v>128.49632969773708</v>
      </c>
    </row>
    <row r="11" spans="2:4" ht="12.75">
      <c r="B11" t="s">
        <v>152</v>
      </c>
      <c r="C11">
        <f>'the model'!C41</f>
        <v>0.08694125028457778</v>
      </c>
      <c r="D11">
        <f>'the model'!D41</f>
        <v>0.09432405170413516</v>
      </c>
    </row>
    <row r="12" spans="2:4" ht="12.75">
      <c r="B12" t="s">
        <v>70</v>
      </c>
      <c r="C12">
        <f>('the model'!C39-'the model'!C38)/'the model'!C38</f>
        <v>0.10064507649403341</v>
      </c>
      <c r="D12">
        <f>('the model'!D39-'the model'!D38)/'the model'!D38</f>
        <v>0.10097072448641124</v>
      </c>
    </row>
    <row r="13" spans="2:4" ht="12.75">
      <c r="B13" t="s">
        <v>71</v>
      </c>
      <c r="C13">
        <f>cs/PP</f>
        <v>0.06551512088105699</v>
      </c>
      <c r="D13">
        <f>'the model'!D34/'the model'!D38</f>
        <v>0.06058260149228348</v>
      </c>
    </row>
    <row r="14" spans="2:4" ht="12.75">
      <c r="B14" s="4" t="s">
        <v>73</v>
      </c>
      <c r="C14" s="4">
        <f>C12/C13</f>
        <v>1.536211414106295</v>
      </c>
      <c r="D14" s="4">
        <f>D12/D13</f>
        <v>1.6666620778784496</v>
      </c>
    </row>
    <row r="15" spans="2:4" ht="12.75">
      <c r="B15" s="5" t="s">
        <v>74</v>
      </c>
      <c r="C15" s="5" t="s">
        <v>16</v>
      </c>
      <c r="D15" s="5">
        <f>'the model'!F43</f>
        <v>13305.139091278892</v>
      </c>
    </row>
    <row r="18" spans="6:8" ht="22.5">
      <c r="F18" s="9"/>
      <c r="G18" s="12" t="s">
        <v>68</v>
      </c>
      <c r="H18" s="8" t="s">
        <v>69</v>
      </c>
    </row>
    <row r="19" spans="6:8" ht="12.75">
      <c r="F19" s="9" t="str">
        <f>B14</f>
        <v>Shipping markups</v>
      </c>
      <c r="G19" s="9">
        <f>C14</f>
        <v>1.536211414106295</v>
      </c>
      <c r="H19" s="9">
        <f>D14</f>
        <v>1.6666620778784496</v>
      </c>
    </row>
    <row r="39" spans="6:8" ht="22.5">
      <c r="F39" s="9"/>
      <c r="G39" s="12" t="s">
        <v>68</v>
      </c>
      <c r="H39" s="8" t="s">
        <v>69</v>
      </c>
    </row>
    <row r="40" spans="6:8" ht="12.75">
      <c r="F40" s="9" t="s">
        <v>75</v>
      </c>
      <c r="G40" s="9">
        <f>'the model'!C38</f>
        <v>0.8638400735850398</v>
      </c>
      <c r="H40" s="9">
        <f>'the model'!D38</f>
        <v>0.934172277993602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8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0" customWidth="1"/>
    <col min="3" max="3" width="11.00390625" style="0" customWidth="1"/>
    <col min="4" max="4" width="10.7109375" style="0" customWidth="1"/>
    <col min="5" max="5" width="9.28125" style="0" bestFit="1" customWidth="1"/>
  </cols>
  <sheetData>
    <row r="1" ht="12.75" customHeight="1" thickBot="1"/>
    <row r="2" spans="2:11" ht="13.5" thickTop="1">
      <c r="B2" s="65"/>
      <c r="C2" s="66" t="s">
        <v>139</v>
      </c>
      <c r="D2" s="67"/>
      <c r="E2" s="141" t="s">
        <v>158</v>
      </c>
      <c r="F2" s="67"/>
      <c r="G2" s="67"/>
      <c r="H2" s="67"/>
      <c r="I2" s="67"/>
      <c r="J2" s="67"/>
      <c r="K2" s="68"/>
    </row>
    <row r="3" spans="2:11" ht="13.5" thickBot="1">
      <c r="B3" s="69"/>
      <c r="C3" s="40"/>
      <c r="D3" s="70" t="s">
        <v>3</v>
      </c>
      <c r="E3" s="40"/>
      <c r="F3" s="40"/>
      <c r="G3" s="40"/>
      <c r="H3" s="40"/>
      <c r="I3" s="40"/>
      <c r="J3" s="40"/>
      <c r="K3" s="71"/>
    </row>
    <row r="4" spans="2:11" ht="31.5" customHeight="1">
      <c r="B4" s="69"/>
      <c r="C4" s="38">
        <v>1374401.6</v>
      </c>
      <c r="D4" s="41" t="s">
        <v>67</v>
      </c>
      <c r="E4" s="42"/>
      <c r="F4" s="42"/>
      <c r="G4" s="42"/>
      <c r="H4" s="42"/>
      <c r="I4" s="42"/>
      <c r="J4" s="43"/>
      <c r="K4" s="71"/>
    </row>
    <row r="5" spans="2:11" ht="12.75">
      <c r="B5" s="69"/>
      <c r="C5" s="39">
        <v>143037.3</v>
      </c>
      <c r="D5" s="40" t="s">
        <v>20</v>
      </c>
      <c r="E5" s="40"/>
      <c r="F5" s="40"/>
      <c r="G5" s="40"/>
      <c r="H5" s="40"/>
      <c r="I5" s="40"/>
      <c r="J5" s="44"/>
      <c r="K5" s="71"/>
    </row>
    <row r="6" spans="2:11" ht="12.75">
      <c r="B6" s="69"/>
      <c r="C6" s="39">
        <v>150832.9</v>
      </c>
      <c r="D6" s="40" t="s">
        <v>21</v>
      </c>
      <c r="E6" s="40"/>
      <c r="F6" s="40"/>
      <c r="G6" s="40"/>
      <c r="H6" s="40"/>
      <c r="I6" s="40"/>
      <c r="J6" s="44"/>
      <c r="K6" s="71"/>
    </row>
    <row r="7" spans="2:11" ht="12.75">
      <c r="B7" s="69"/>
      <c r="C7" s="39">
        <v>163355.2</v>
      </c>
      <c r="D7" s="40" t="s">
        <v>80</v>
      </c>
      <c r="E7" s="40"/>
      <c r="F7" s="40"/>
      <c r="G7" s="40"/>
      <c r="H7" s="40"/>
      <c r="I7" s="40"/>
      <c r="J7" s="44"/>
      <c r="K7" s="71"/>
    </row>
    <row r="8" spans="2:11" ht="12.75">
      <c r="B8" s="69"/>
      <c r="C8" s="39">
        <v>169955.6</v>
      </c>
      <c r="D8" s="40" t="s">
        <v>78</v>
      </c>
      <c r="E8" s="40"/>
      <c r="F8" s="40"/>
      <c r="G8" s="40"/>
      <c r="H8" s="40"/>
      <c r="I8" s="40"/>
      <c r="J8" s="44"/>
      <c r="K8" s="71"/>
    </row>
    <row r="9" spans="2:11" ht="12.75">
      <c r="B9" s="69"/>
      <c r="C9" s="39">
        <v>0.05176655756138084</v>
      </c>
      <c r="D9" s="40" t="s">
        <v>0</v>
      </c>
      <c r="E9" s="40"/>
      <c r="F9" s="40"/>
      <c r="G9" s="40"/>
      <c r="H9" s="40"/>
      <c r="I9" s="40"/>
      <c r="J9" s="44"/>
      <c r="K9" s="71"/>
    </row>
    <row r="10" spans="2:11" ht="12.75">
      <c r="B10" s="69"/>
      <c r="C10" s="39">
        <v>-10</v>
      </c>
      <c r="D10" s="40" t="s">
        <v>1</v>
      </c>
      <c r="E10" s="40"/>
      <c r="F10" s="40"/>
      <c r="G10" s="40"/>
      <c r="H10" s="40"/>
      <c r="I10" s="40"/>
      <c r="J10" s="44"/>
      <c r="K10" s="71"/>
    </row>
    <row r="11" spans="2:11" ht="12.75">
      <c r="B11" s="69"/>
      <c r="C11" s="39">
        <v>3.5</v>
      </c>
      <c r="D11" s="40" t="s">
        <v>28</v>
      </c>
      <c r="E11" s="40"/>
      <c r="F11" s="40"/>
      <c r="G11" s="40"/>
      <c r="H11" s="40"/>
      <c r="I11" s="40"/>
      <c r="J11" s="44"/>
      <c r="K11" s="71"/>
    </row>
    <row r="12" spans="2:11" ht="12.75">
      <c r="B12" s="69"/>
      <c r="C12" s="39">
        <v>0.2</v>
      </c>
      <c r="D12" s="40" t="s">
        <v>2</v>
      </c>
      <c r="E12" s="40"/>
      <c r="F12" s="40"/>
      <c r="G12" s="40"/>
      <c r="H12" s="40"/>
      <c r="I12" s="40"/>
      <c r="J12" s="44"/>
      <c r="K12" s="71"/>
    </row>
    <row r="13" spans="2:11" ht="13.5" thickBot="1">
      <c r="B13" s="69"/>
      <c r="C13" s="45" t="s">
        <v>16</v>
      </c>
      <c r="D13" s="46" t="s">
        <v>90</v>
      </c>
      <c r="E13" s="46"/>
      <c r="F13" s="46"/>
      <c r="G13" s="46"/>
      <c r="H13" s="46"/>
      <c r="I13" s="46"/>
      <c r="J13" s="47"/>
      <c r="K13" s="71"/>
    </row>
    <row r="14" spans="2:11" ht="12.75">
      <c r="B14" s="69"/>
      <c r="C14" s="40" t="s">
        <v>16</v>
      </c>
      <c r="D14" s="40"/>
      <c r="E14" s="40"/>
      <c r="F14" s="40"/>
      <c r="G14" s="40"/>
      <c r="H14" s="40"/>
      <c r="I14" s="40"/>
      <c r="J14" s="40"/>
      <c r="K14" s="71"/>
    </row>
    <row r="15" spans="2:11" ht="13.5" thickBot="1">
      <c r="B15" s="69"/>
      <c r="C15" s="40"/>
      <c r="D15" s="70" t="s">
        <v>4</v>
      </c>
      <c r="E15" s="40"/>
      <c r="F15" s="40"/>
      <c r="G15" s="40"/>
      <c r="H15" s="40"/>
      <c r="I15" s="40"/>
      <c r="J15" s="40"/>
      <c r="K15" s="71"/>
    </row>
    <row r="16" spans="2:11" ht="12.75">
      <c r="B16" s="69"/>
      <c r="C16" s="48">
        <v>1</v>
      </c>
      <c r="D16" s="42" t="s">
        <v>13</v>
      </c>
      <c r="E16" s="42"/>
      <c r="F16" s="42"/>
      <c r="G16" s="42"/>
      <c r="H16" s="42"/>
      <c r="I16" s="42"/>
      <c r="J16" s="43"/>
      <c r="K16" s="71"/>
    </row>
    <row r="17" spans="2:13" ht="12.75">
      <c r="B17" s="69"/>
      <c r="C17" s="49">
        <f>ExportsFOB/(ExportsCIF+(ImportsCIF-ImportsFOB))*PS</f>
        <v>0.8638400735850398</v>
      </c>
      <c r="D17" s="40" t="s">
        <v>14</v>
      </c>
      <c r="E17" s="40"/>
      <c r="F17" s="40"/>
      <c r="G17" s="40"/>
      <c r="H17" s="40"/>
      <c r="I17" s="40"/>
      <c r="J17" s="44"/>
      <c r="K17" s="71"/>
      <c r="M17" t="s">
        <v>83</v>
      </c>
    </row>
    <row r="18" spans="2:14" ht="12.75">
      <c r="B18" s="69"/>
      <c r="C18" s="49">
        <f>PC/(1+Tariff)</f>
        <v>0.9507813238696176</v>
      </c>
      <c r="D18" s="40" t="s">
        <v>15</v>
      </c>
      <c r="E18" s="40"/>
      <c r="F18" s="40"/>
      <c r="G18" s="40"/>
      <c r="H18" s="40"/>
      <c r="I18" s="40"/>
      <c r="J18" s="44"/>
      <c r="K18" s="71"/>
      <c r="M18" s="15" t="s">
        <v>84</v>
      </c>
      <c r="N18" s="16" t="s">
        <v>89</v>
      </c>
    </row>
    <row r="19" spans="2:15" ht="12.75">
      <c r="B19" s="69"/>
      <c r="C19" s="49">
        <f>(1+Tariff)*(ExportsCIF+(ImportsCIF-ImportsFOB))</f>
        <v>165583.07998652812</v>
      </c>
      <c r="D19" s="40" t="s">
        <v>12</v>
      </c>
      <c r="E19" s="40"/>
      <c r="F19" s="40"/>
      <c r="G19" s="40"/>
      <c r="H19" s="40"/>
      <c r="I19" s="40"/>
      <c r="J19" s="44"/>
      <c r="K19" s="71"/>
      <c r="M19" s="13">
        <f>(x*(b*(1+MarketPower)*(1+Tariff)+y*MarketPower)+y*(1+Tariff)*(a+cs))/((1+MarketPower)*(b*(1+Tariff)+y))</f>
        <v>0.9999999999999998</v>
      </c>
      <c r="N19" s="17">
        <f>PC</f>
        <v>1</v>
      </c>
      <c r="O19" t="s">
        <v>85</v>
      </c>
    </row>
    <row r="20" spans="2:15" ht="12.75">
      <c r="B20" s="69"/>
      <c r="C20" s="49">
        <f>PC*(DemandElasticity+1)/DemandElasticity</f>
        <v>0.9</v>
      </c>
      <c r="D20" s="40" t="s">
        <v>5</v>
      </c>
      <c r="E20" s="40"/>
      <c r="F20" s="40"/>
      <c r="G20" s="40"/>
      <c r="H20" s="40"/>
      <c r="I20" s="40"/>
      <c r="J20" s="44"/>
      <c r="K20" s="71"/>
      <c r="M20" s="13">
        <f>(b*((1+Tariff)*(a*MarketPower-cs)+x)+a*y*(1+MarketPower))/((1+MarketPower)*(b*(1+Tariff)+y))</f>
        <v>0.8638400735850397</v>
      </c>
      <c r="N20" s="17">
        <f>PP</f>
        <v>0.8638400735850398</v>
      </c>
      <c r="O20" t="s">
        <v>86</v>
      </c>
    </row>
    <row r="21" spans="2:15" ht="12.75">
      <c r="B21" s="69"/>
      <c r="C21" s="49">
        <f>PC/(DemandElasticity*Q)</f>
        <v>-6.039264398762E-07</v>
      </c>
      <c r="D21" s="40" t="s">
        <v>6</v>
      </c>
      <c r="E21" s="40"/>
      <c r="F21" s="40"/>
      <c r="G21" s="40"/>
      <c r="H21" s="40"/>
      <c r="I21" s="40"/>
      <c r="J21" s="44"/>
      <c r="K21" s="71"/>
      <c r="M21" s="13">
        <f>x*(b*(1+MarketPower)*(1+Tariff)+y*MarketPower)/((1+MarketPower)*(b*(1+Tariff)+y)*(1+Tariff))+y*(a+cs)/((1+MarketPower)*(b*(1+Tariff)+y))</f>
        <v>0.9507813238696176</v>
      </c>
      <c r="N21" s="17">
        <f>PS</f>
        <v>0.9507813238696176</v>
      </c>
      <c r="O21" t="s">
        <v>87</v>
      </c>
    </row>
    <row r="22" spans="2:15" ht="12.75">
      <c r="B22" s="69"/>
      <c r="C22" s="49">
        <f>-(-PC*DemandElasticity*SupplyElasticity-PC*SupplyElasticity+(1+Tariff)*PP*DemandElasticity*SupplyElasticity-PP*(1+Tariff)*DemandElasticity+PP*(1+MarketPower)*(1+Tariff)*DemandElasticity+(1+MarketPower)*PC*SupplyElasticity)/(DemandElasticity*(SupplyElasticity*(1+Tariff)))</f>
        <v>0.05659458684282505</v>
      </c>
      <c r="D22" s="40" t="s">
        <v>7</v>
      </c>
      <c r="E22" s="40"/>
      <c r="F22" s="40"/>
      <c r="G22" s="40"/>
      <c r="H22" s="40"/>
      <c r="I22" s="40"/>
      <c r="J22" s="44"/>
      <c r="K22" s="71"/>
      <c r="M22" s="13">
        <f>(x-(1+Tariff)*(a+cs))/((1+MarketPower)*(b*(1+Tariff)+y))</f>
        <v>165583.07998652812</v>
      </c>
      <c r="N22" s="17">
        <f>Q</f>
        <v>165583.07998652812</v>
      </c>
      <c r="O22" t="s">
        <v>88</v>
      </c>
    </row>
    <row r="23" spans="2:15" ht="12.75">
      <c r="B23" s="69"/>
      <c r="C23" s="49">
        <f>PP*(SupplyElasticity-1)/SupplyElasticity</f>
        <v>0.6170286239893141</v>
      </c>
      <c r="D23" s="40" t="s">
        <v>8</v>
      </c>
      <c r="E23" s="40"/>
      <c r="F23" s="40"/>
      <c r="G23" s="40"/>
      <c r="H23" s="40"/>
      <c r="I23" s="40"/>
      <c r="J23" s="44"/>
      <c r="K23" s="71"/>
      <c r="M23" s="14">
        <f>cs/PP</f>
        <v>0.06551512088105699</v>
      </c>
      <c r="N23" s="18">
        <f>(ExportsCIF+(ImportsCIF-ImportsFOB))/(ExportsFOB)-1</f>
        <v>0.10064507649403343</v>
      </c>
      <c r="O23" t="s">
        <v>137</v>
      </c>
    </row>
    <row r="24" spans="2:15" ht="12.75">
      <c r="B24" s="69"/>
      <c r="C24" s="49">
        <f>PP/(SupplyElasticity*Q)</f>
        <v>1.4905596007503079E-06</v>
      </c>
      <c r="D24" s="40" t="s">
        <v>9</v>
      </c>
      <c r="E24" s="40"/>
      <c r="F24" s="40"/>
      <c r="G24" s="40"/>
      <c r="H24" s="40"/>
      <c r="I24" s="40"/>
      <c r="J24" s="44"/>
      <c r="K24" s="71"/>
      <c r="O24" t="s">
        <v>138</v>
      </c>
    </row>
    <row r="25" spans="2:11" ht="12.75">
      <c r="B25" s="69"/>
      <c r="C25" s="49"/>
      <c r="D25" s="40" t="s">
        <v>11</v>
      </c>
      <c r="E25" s="40"/>
      <c r="F25" s="40"/>
      <c r="G25" s="40"/>
      <c r="H25" s="40"/>
      <c r="I25" s="40"/>
      <c r="J25" s="44"/>
      <c r="K25" s="71"/>
    </row>
    <row r="26" spans="2:11" ht="13.5" thickBot="1">
      <c r="B26" s="69"/>
      <c r="C26" s="45"/>
      <c r="D26" s="46" t="s">
        <v>10</v>
      </c>
      <c r="E26" s="46"/>
      <c r="F26" s="46"/>
      <c r="G26" s="46"/>
      <c r="H26" s="46"/>
      <c r="I26" s="46"/>
      <c r="J26" s="47"/>
      <c r="K26" s="71"/>
    </row>
    <row r="27" spans="2:11" ht="12.75">
      <c r="B27" s="69"/>
      <c r="C27" s="40"/>
      <c r="D27" s="40"/>
      <c r="E27" s="40"/>
      <c r="F27" s="40"/>
      <c r="G27" s="40"/>
      <c r="H27" s="40"/>
      <c r="I27" s="40"/>
      <c r="J27" s="40"/>
      <c r="K27" s="71"/>
    </row>
    <row r="28" spans="2:11" ht="13.5" thickBot="1">
      <c r="B28" s="69"/>
      <c r="C28" s="40"/>
      <c r="D28" s="70" t="s">
        <v>17</v>
      </c>
      <c r="E28" s="40"/>
      <c r="F28" s="40"/>
      <c r="G28" s="40"/>
      <c r="H28" s="40"/>
      <c r="I28" s="40"/>
      <c r="J28" s="40"/>
      <c r="K28" s="71"/>
    </row>
    <row r="29" spans="2:11" ht="12.75">
      <c r="B29" s="69"/>
      <c r="C29" s="48"/>
      <c r="D29" s="50" t="s">
        <v>61</v>
      </c>
      <c r="E29" s="51"/>
      <c r="F29" s="42"/>
      <c r="G29" s="42"/>
      <c r="H29" s="42"/>
      <c r="I29" s="42"/>
      <c r="J29" s="43"/>
      <c r="K29" s="71"/>
    </row>
    <row r="30" spans="2:11" ht="33.75">
      <c r="B30" s="69"/>
      <c r="C30" s="52" t="s">
        <v>18</v>
      </c>
      <c r="D30" s="53" t="s">
        <v>19</v>
      </c>
      <c r="E30" s="53" t="s">
        <v>60</v>
      </c>
      <c r="F30" s="54" t="s">
        <v>30</v>
      </c>
      <c r="G30" s="40"/>
      <c r="H30" s="40"/>
      <c r="I30" s="40"/>
      <c r="J30" s="44"/>
      <c r="K30" s="71"/>
    </row>
    <row r="31" spans="2:11" ht="12.75">
      <c r="B31" s="69"/>
      <c r="C31" s="55"/>
      <c r="D31" s="56"/>
      <c r="E31" s="56"/>
      <c r="F31" s="57"/>
      <c r="G31" s="40"/>
      <c r="H31" s="40"/>
      <c r="I31" s="40"/>
      <c r="J31" s="44"/>
      <c r="K31" s="71"/>
    </row>
    <row r="32" spans="2:11" ht="12.75">
      <c r="B32" s="69"/>
      <c r="C32" s="78">
        <f>Tariff</f>
        <v>0.05176655756138084</v>
      </c>
      <c r="D32" s="83">
        <v>0</v>
      </c>
      <c r="E32" s="77">
        <f>D32/C32</f>
        <v>0</v>
      </c>
      <c r="F32" s="77">
        <f>(E32-1)*100</f>
        <v>-100</v>
      </c>
      <c r="G32" s="40" t="s">
        <v>0</v>
      </c>
      <c r="H32" s="40"/>
      <c r="I32" s="40"/>
      <c r="J32" s="44"/>
      <c r="K32" s="71"/>
    </row>
    <row r="33" spans="2:11" ht="12.75">
      <c r="B33" s="69"/>
      <c r="C33" s="78">
        <f>MarketPower</f>
        <v>0.2</v>
      </c>
      <c r="D33" s="83">
        <f>C33</f>
        <v>0.2</v>
      </c>
      <c r="E33" s="77">
        <f>D33/C33</f>
        <v>1</v>
      </c>
      <c r="F33" s="77">
        <f>(E33-1)*100</f>
        <v>0</v>
      </c>
      <c r="G33" s="40" t="s">
        <v>2</v>
      </c>
      <c r="H33" s="40"/>
      <c r="I33" s="40"/>
      <c r="J33" s="44"/>
      <c r="K33" s="71"/>
    </row>
    <row r="34" spans="2:11" ht="12.75">
      <c r="B34" s="69"/>
      <c r="C34" s="78">
        <f>cs</f>
        <v>0.05659458684282505</v>
      </c>
      <c r="D34" s="83">
        <f>C34</f>
        <v>0.05659458684282505</v>
      </c>
      <c r="E34" s="77">
        <f>D34/C34</f>
        <v>1</v>
      </c>
      <c r="F34" s="77">
        <f>(E34-1)*100</f>
        <v>0</v>
      </c>
      <c r="G34" s="40" t="s">
        <v>22</v>
      </c>
      <c r="H34" s="40"/>
      <c r="I34" s="40"/>
      <c r="J34" s="44"/>
      <c r="K34" s="71"/>
    </row>
    <row r="35" spans="2:11" ht="12.75">
      <c r="B35" s="69"/>
      <c r="C35" s="55"/>
      <c r="D35" s="58" t="s">
        <v>62</v>
      </c>
      <c r="E35" s="56"/>
      <c r="F35" s="40"/>
      <c r="G35" s="40"/>
      <c r="H35" s="40"/>
      <c r="I35" s="40"/>
      <c r="J35" s="44"/>
      <c r="K35" s="71"/>
    </row>
    <row r="36" spans="2:11" ht="33.75">
      <c r="B36" s="69"/>
      <c r="C36" s="59" t="s">
        <v>18</v>
      </c>
      <c r="D36" s="60" t="s">
        <v>19</v>
      </c>
      <c r="E36" s="60" t="s">
        <v>60</v>
      </c>
      <c r="F36" s="61" t="s">
        <v>30</v>
      </c>
      <c r="G36" s="40"/>
      <c r="H36" s="40"/>
      <c r="I36" s="40"/>
      <c r="J36" s="44"/>
      <c r="K36" s="71"/>
    </row>
    <row r="37" spans="2:11" ht="12.75">
      <c r="B37" s="69"/>
      <c r="C37" s="78">
        <f>PC</f>
        <v>1</v>
      </c>
      <c r="D37" s="77">
        <f>(x*(b*(1+D33)*(1+D32)+y*D33)+y*(1+D32)*(a+D34))/((1+D33)*(b*(1+D32)+y))</f>
        <v>1.0284963296977372</v>
      </c>
      <c r="E37" s="77">
        <f aca="true" t="shared" si="0" ref="E37:E42">D37/C37</f>
        <v>1.0284963296977372</v>
      </c>
      <c r="F37" s="79">
        <f aca="true" t="shared" si="1" ref="F37:F42">E37-1</f>
        <v>0.02849632969773719</v>
      </c>
      <c r="G37" s="40" t="s">
        <v>23</v>
      </c>
      <c r="H37" s="40"/>
      <c r="I37" s="40"/>
      <c r="J37" s="44"/>
      <c r="K37" s="71"/>
    </row>
    <row r="38" spans="2:11" ht="12.75">
      <c r="B38" s="69"/>
      <c r="C38" s="78">
        <f>PP</f>
        <v>0.8638400735850398</v>
      </c>
      <c r="D38" s="77">
        <f>(b*((1+D32)*(a*D33-D34)+x)+a*y*(1+D33))/((1+D33)*(b*(1+D32)+y))</f>
        <v>0.934172277993602</v>
      </c>
      <c r="E38" s="77">
        <f t="shared" si="0"/>
        <v>1.0814180848506776</v>
      </c>
      <c r="F38" s="79">
        <f t="shared" si="1"/>
        <v>0.08141808485067759</v>
      </c>
      <c r="G38" s="40" t="s">
        <v>24</v>
      </c>
      <c r="H38" s="40"/>
      <c r="I38" s="40"/>
      <c r="J38" s="44"/>
      <c r="K38" s="71"/>
    </row>
    <row r="39" spans="2:11" ht="12.75">
      <c r="B39" s="69"/>
      <c r="C39" s="78">
        <f>PS</f>
        <v>0.9507813238696176</v>
      </c>
      <c r="D39" s="77">
        <f>x*(b*(1+D33)*(1+D32)+y*D33)/((1+D33)*(b*(1+D32)+y)*(1+D32))+y*(a+D34)/((1+D33)*(b*(1+D32)+y))</f>
        <v>1.0284963296977372</v>
      </c>
      <c r="E39" s="77">
        <f t="shared" si="0"/>
        <v>1.081738044150704</v>
      </c>
      <c r="F39" s="79">
        <f t="shared" si="1"/>
        <v>0.08173804415070407</v>
      </c>
      <c r="G39" s="40" t="s">
        <v>25</v>
      </c>
      <c r="H39" s="40"/>
      <c r="I39" s="40"/>
      <c r="J39" s="44"/>
      <c r="K39" s="71"/>
    </row>
    <row r="40" spans="2:11" ht="12.75">
      <c r="B40" s="69"/>
      <c r="C40" s="80">
        <f>Q</f>
        <v>165583.07998652812</v>
      </c>
      <c r="D40" s="81">
        <f>(x-(1+D32)*(a+D34))/((1+D33)*(b*(1+D32)+y))</f>
        <v>212768.18038315687</v>
      </c>
      <c r="E40" s="77">
        <f t="shared" si="0"/>
        <v>1.2849632969773708</v>
      </c>
      <c r="F40" s="79">
        <f t="shared" si="1"/>
        <v>0.2849632969773708</v>
      </c>
      <c r="G40" s="40" t="s">
        <v>26</v>
      </c>
      <c r="H40" s="40"/>
      <c r="I40" s="40"/>
      <c r="J40" s="44"/>
      <c r="K40" s="71"/>
    </row>
    <row r="41" spans="2:11" ht="12.75">
      <c r="B41" s="69"/>
      <c r="C41" s="115">
        <f>C39-C38</f>
        <v>0.08694125028457778</v>
      </c>
      <c r="D41" s="114">
        <f>D39-D38</f>
        <v>0.09432405170413516</v>
      </c>
      <c r="E41" s="114">
        <f t="shared" si="0"/>
        <v>1.0849171296178954</v>
      </c>
      <c r="F41" s="116">
        <f t="shared" si="1"/>
        <v>0.08491712961789544</v>
      </c>
      <c r="G41" s="40" t="s">
        <v>148</v>
      </c>
      <c r="H41" s="40"/>
      <c r="I41" s="40"/>
      <c r="J41" s="44"/>
      <c r="K41" s="71"/>
    </row>
    <row r="42" spans="2:11" ht="12.75">
      <c r="B42" s="69"/>
      <c r="C42" s="80">
        <f>C4</f>
        <v>1374401.6</v>
      </c>
      <c r="D42" s="81">
        <f>(D38-C38)*C40+0.5*(D40-C40)*(D38-C38)+C42</f>
        <v>1387706.739091279</v>
      </c>
      <c r="E42" s="77">
        <f t="shared" si="0"/>
        <v>1.0096806778246468</v>
      </c>
      <c r="F42" s="79">
        <f t="shared" si="1"/>
        <v>0.009680677824646766</v>
      </c>
      <c r="G42" s="40" t="s">
        <v>31</v>
      </c>
      <c r="H42" s="40"/>
      <c r="I42" s="40"/>
      <c r="J42" s="44"/>
      <c r="K42" s="71"/>
    </row>
    <row r="43" spans="2:11" ht="13.5" thickBot="1">
      <c r="B43" s="69"/>
      <c r="C43" s="45"/>
      <c r="D43" s="46"/>
      <c r="E43" s="46"/>
      <c r="F43" s="82">
        <f>D42-C42</f>
        <v>13305.139091278892</v>
      </c>
      <c r="G43" s="46" t="s">
        <v>63</v>
      </c>
      <c r="H43" s="46"/>
      <c r="I43" s="46"/>
      <c r="J43" s="47"/>
      <c r="K43" s="71"/>
    </row>
    <row r="44" spans="2:11" ht="12.75">
      <c r="B44" s="69"/>
      <c r="C44" s="56"/>
      <c r="D44" s="56"/>
      <c r="E44" s="40"/>
      <c r="F44" s="40"/>
      <c r="G44" s="40"/>
      <c r="H44" s="40"/>
      <c r="I44" s="40"/>
      <c r="J44" s="40"/>
      <c r="K44" s="71"/>
    </row>
    <row r="45" spans="2:11" ht="12.75">
      <c r="B45" s="69"/>
      <c r="C45" s="40"/>
      <c r="D45" s="56"/>
      <c r="E45" s="40"/>
      <c r="F45" s="40"/>
      <c r="G45" s="40"/>
      <c r="H45" s="40"/>
      <c r="I45" s="40"/>
      <c r="J45" s="40"/>
      <c r="K45" s="71"/>
    </row>
    <row r="46" spans="2:11" ht="13.5" thickBot="1">
      <c r="B46" s="69"/>
      <c r="C46" s="40"/>
      <c r="D46" s="70" t="s">
        <v>140</v>
      </c>
      <c r="E46" s="40"/>
      <c r="F46" s="40"/>
      <c r="G46" s="40"/>
      <c r="H46" s="40"/>
      <c r="I46" s="40"/>
      <c r="J46" s="40"/>
      <c r="K46" s="71"/>
    </row>
    <row r="47" spans="2:11" ht="12.75">
      <c r="B47" s="69"/>
      <c r="C47" s="62" t="s">
        <v>116</v>
      </c>
      <c r="D47" s="42"/>
      <c r="E47" s="42"/>
      <c r="F47" s="42"/>
      <c r="G47" s="42"/>
      <c r="H47" s="42"/>
      <c r="I47" s="42"/>
      <c r="J47" s="43"/>
      <c r="K47" s="71"/>
    </row>
    <row r="48" spans="2:11" ht="12.75">
      <c r="B48" s="69"/>
      <c r="C48" s="49"/>
      <c r="D48" s="40"/>
      <c r="E48" s="40"/>
      <c r="F48" s="40"/>
      <c r="G48" s="40"/>
      <c r="H48" s="40"/>
      <c r="I48" s="40"/>
      <c r="J48" s="44"/>
      <c r="K48" s="71"/>
    </row>
    <row r="49" spans="2:11" ht="12.75">
      <c r="B49" s="69"/>
      <c r="C49" s="49" t="s">
        <v>111</v>
      </c>
      <c r="D49" s="40"/>
      <c r="E49" s="40"/>
      <c r="F49" s="40"/>
      <c r="G49" s="40"/>
      <c r="H49" s="40" t="s">
        <v>104</v>
      </c>
      <c r="I49" s="40"/>
      <c r="J49" s="44">
        <f>C40/C42*C38</f>
        <v>0.10407241958973269</v>
      </c>
      <c r="K49" s="71"/>
    </row>
    <row r="50" spans="2:11" ht="12.75">
      <c r="B50" s="69"/>
      <c r="C50" s="49" t="s">
        <v>112</v>
      </c>
      <c r="D50" s="40"/>
      <c r="E50" s="40"/>
      <c r="F50" s="40"/>
      <c r="G50" s="40"/>
      <c r="H50" s="40" t="s">
        <v>105</v>
      </c>
      <c r="I50" s="40"/>
      <c r="J50" s="63">
        <f>F38</f>
        <v>0.08141808485067759</v>
      </c>
      <c r="K50" s="71"/>
    </row>
    <row r="51" spans="2:11" ht="12.75">
      <c r="B51" s="69"/>
      <c r="C51" s="49" t="s">
        <v>113</v>
      </c>
      <c r="D51" s="40"/>
      <c r="E51" s="40"/>
      <c r="F51" s="40"/>
      <c r="G51" s="40"/>
      <c r="H51" s="40" t="s">
        <v>106</v>
      </c>
      <c r="I51" s="40"/>
      <c r="J51" s="63">
        <f>F40</f>
        <v>0.2849632969773708</v>
      </c>
      <c r="K51" s="71"/>
    </row>
    <row r="52" spans="2:11" ht="12.75">
      <c r="B52" s="69"/>
      <c r="C52" s="49" t="s">
        <v>114</v>
      </c>
      <c r="D52" s="40"/>
      <c r="E52" s="40"/>
      <c r="F52" s="40"/>
      <c r="G52" s="40"/>
      <c r="H52" s="40" t="s">
        <v>107</v>
      </c>
      <c r="I52" s="40"/>
      <c r="J52" s="44">
        <f>J50*J49</f>
        <v>0.008473377088772176</v>
      </c>
      <c r="K52" s="71"/>
    </row>
    <row r="53" spans="2:11" ht="12.75" customHeight="1">
      <c r="B53" s="69"/>
      <c r="C53" s="49" t="s">
        <v>110</v>
      </c>
      <c r="D53" s="40"/>
      <c r="E53" s="40"/>
      <c r="F53" s="40"/>
      <c r="G53" s="40"/>
      <c r="H53" s="40"/>
      <c r="I53" s="40"/>
      <c r="J53" s="44"/>
      <c r="K53" s="71"/>
    </row>
    <row r="54" spans="2:11" ht="12.75" customHeight="1">
      <c r="B54" s="69"/>
      <c r="C54" s="129" t="s">
        <v>149</v>
      </c>
      <c r="D54" s="130"/>
      <c r="E54" s="130"/>
      <c r="F54" s="130"/>
      <c r="G54" s="130"/>
      <c r="H54" s="40" t="s">
        <v>108</v>
      </c>
      <c r="I54" s="40"/>
      <c r="J54" s="44">
        <f>0.5*J50*J51*J49</f>
        <v>0.0012073007358745175</v>
      </c>
      <c r="K54" s="71"/>
    </row>
    <row r="55" spans="2:11" ht="12.75" customHeight="1">
      <c r="B55" s="69"/>
      <c r="C55" s="129" t="s">
        <v>150</v>
      </c>
      <c r="D55" s="131"/>
      <c r="E55" s="131"/>
      <c r="F55" s="64"/>
      <c r="G55" s="64"/>
      <c r="H55" s="40"/>
      <c r="I55" s="40"/>
      <c r="J55" s="44"/>
      <c r="K55" s="71"/>
    </row>
    <row r="56" spans="2:11" ht="13.5" thickBot="1">
      <c r="B56" s="69"/>
      <c r="C56" s="45" t="s">
        <v>115</v>
      </c>
      <c r="D56" s="46"/>
      <c r="E56" s="46"/>
      <c r="F56" s="46"/>
      <c r="G56" s="46"/>
      <c r="H56" s="46" t="s">
        <v>109</v>
      </c>
      <c r="I56" s="46"/>
      <c r="J56" s="47">
        <f>J52+J54</f>
        <v>0.009680677824646693</v>
      </c>
      <c r="K56" s="71"/>
    </row>
    <row r="57" spans="2:11" ht="12.75">
      <c r="B57" s="72"/>
      <c r="C57" s="4"/>
      <c r="D57" s="4"/>
      <c r="E57" s="4"/>
      <c r="F57" s="4"/>
      <c r="G57" s="4"/>
      <c r="H57" s="4"/>
      <c r="I57" s="4"/>
      <c r="J57" s="4"/>
      <c r="K57" s="73"/>
    </row>
    <row r="58" spans="2:11" ht="13.5" thickBot="1">
      <c r="B58" s="74"/>
      <c r="C58" s="75"/>
      <c r="D58" s="75"/>
      <c r="E58" s="75"/>
      <c r="F58" s="75"/>
      <c r="G58" s="75"/>
      <c r="H58" s="75"/>
      <c r="I58" s="75"/>
      <c r="J58" s="75"/>
      <c r="K58" s="76"/>
    </row>
    <row r="59" ht="13.5" thickTop="1"/>
  </sheetData>
  <mergeCells count="2">
    <mergeCell ref="C54:G54"/>
    <mergeCell ref="C55:E55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T1">
      <selection activeCell="T3" sqref="T3"/>
    </sheetView>
  </sheetViews>
  <sheetFormatPr defaultColWidth="9.140625" defaultRowHeight="12.75"/>
  <cols>
    <col min="5" max="9" width="11.7109375" style="0" customWidth="1"/>
    <col min="17" max="19" width="20.7109375" style="0" customWidth="1"/>
    <col min="21" max="21" width="21.00390625" style="0" customWidth="1"/>
    <col min="23" max="28" width="12.7109375" style="0" customWidth="1"/>
  </cols>
  <sheetData>
    <row r="1" spans="12:19" ht="15.75">
      <c r="L1" s="25"/>
      <c r="M1" s="25"/>
      <c r="N1" s="25"/>
      <c r="O1" s="25"/>
      <c r="P1" s="25"/>
      <c r="Q1" s="25"/>
      <c r="R1" s="25"/>
      <c r="S1" s="25"/>
    </row>
    <row r="2" spans="12:19" ht="19.5" thickBot="1">
      <c r="L2" s="35" t="s">
        <v>132</v>
      </c>
      <c r="M2" s="25"/>
      <c r="N2" s="25"/>
      <c r="O2" s="25"/>
      <c r="P2" s="25"/>
      <c r="Q2" s="25"/>
      <c r="R2" s="25"/>
      <c r="S2" s="25"/>
    </row>
    <row r="3" spans="12:19" ht="32.25" thickTop="1">
      <c r="L3" s="32"/>
      <c r="M3" s="33"/>
      <c r="N3" s="33"/>
      <c r="O3" s="33"/>
      <c r="P3" s="33"/>
      <c r="Q3" s="99" t="s">
        <v>96</v>
      </c>
      <c r="R3" s="99" t="s">
        <v>97</v>
      </c>
      <c r="S3" s="104" t="s">
        <v>98</v>
      </c>
    </row>
    <row r="4" spans="1:21" ht="19.5" thickBot="1">
      <c r="A4" s="3" t="s">
        <v>95</v>
      </c>
      <c r="B4" s="19"/>
      <c r="C4" s="19"/>
      <c r="D4" s="19"/>
      <c r="E4" s="19"/>
      <c r="F4" s="19"/>
      <c r="G4" s="19"/>
      <c r="H4" s="19"/>
      <c r="I4" s="19"/>
      <c r="L4" s="28" t="s">
        <v>131</v>
      </c>
      <c r="M4" s="27"/>
      <c r="N4" s="27"/>
      <c r="O4" s="27"/>
      <c r="P4" s="27"/>
      <c r="Q4" s="98"/>
      <c r="R4" s="98"/>
      <c r="S4" s="105"/>
      <c r="U4" s="35" t="s">
        <v>145</v>
      </c>
    </row>
    <row r="5" spans="1:28" ht="16.5" thickTop="1">
      <c r="A5" s="3" t="s">
        <v>99</v>
      </c>
      <c r="B5" s="19"/>
      <c r="C5" s="19"/>
      <c r="D5" s="19"/>
      <c r="E5" s="19"/>
      <c r="F5" s="19"/>
      <c r="G5" s="19"/>
      <c r="H5" s="19"/>
      <c r="I5" s="19"/>
      <c r="L5" s="29" t="s">
        <v>27</v>
      </c>
      <c r="M5" s="27"/>
      <c r="N5" s="27"/>
      <c r="O5" s="27"/>
      <c r="P5" s="27"/>
      <c r="Q5" s="98">
        <v>319716.5</v>
      </c>
      <c r="R5" s="98">
        <v>1374401.6</v>
      </c>
      <c r="S5" s="105">
        <v>434024.4</v>
      </c>
      <c r="U5" s="119"/>
      <c r="V5" s="120"/>
      <c r="W5" s="121"/>
      <c r="X5" s="132" t="s">
        <v>134</v>
      </c>
      <c r="Y5" s="133"/>
      <c r="Z5" s="133"/>
      <c r="AA5" s="134"/>
      <c r="AB5" s="122"/>
    </row>
    <row r="6" spans="1:28" ht="31.5">
      <c r="A6" s="19"/>
      <c r="B6" s="19"/>
      <c r="C6" s="19"/>
      <c r="D6" s="19"/>
      <c r="E6" s="21" t="s">
        <v>123</v>
      </c>
      <c r="F6" s="7"/>
      <c r="G6" s="22"/>
      <c r="H6" s="22"/>
      <c r="I6" s="22"/>
      <c r="J6" s="23"/>
      <c r="K6" s="94"/>
      <c r="L6" s="29" t="s">
        <v>124</v>
      </c>
      <c r="M6" s="27"/>
      <c r="N6" s="27"/>
      <c r="O6" s="27"/>
      <c r="P6" s="27"/>
      <c r="Q6" s="98">
        <v>75295.1</v>
      </c>
      <c r="R6" s="98">
        <v>143037.3</v>
      </c>
      <c r="S6" s="105">
        <v>55460.1</v>
      </c>
      <c r="U6" s="123"/>
      <c r="V6" s="118"/>
      <c r="W6" s="110" t="s">
        <v>142</v>
      </c>
      <c r="X6" s="111" t="s">
        <v>120</v>
      </c>
      <c r="Y6" s="111" t="s">
        <v>119</v>
      </c>
      <c r="Z6" s="111" t="s">
        <v>118</v>
      </c>
      <c r="AA6" s="112" t="s">
        <v>122</v>
      </c>
      <c r="AB6" s="124" t="s">
        <v>144</v>
      </c>
    </row>
    <row r="7" spans="1:28" ht="15.75">
      <c r="A7" s="19"/>
      <c r="B7" s="19"/>
      <c r="C7" s="19"/>
      <c r="D7" s="19"/>
      <c r="E7" s="24" t="s">
        <v>135</v>
      </c>
      <c r="F7" s="24" t="s">
        <v>122</v>
      </c>
      <c r="G7" s="24" t="s">
        <v>118</v>
      </c>
      <c r="H7" s="24" t="s">
        <v>119</v>
      </c>
      <c r="I7" s="24" t="s">
        <v>120</v>
      </c>
      <c r="J7" s="24" t="s">
        <v>121</v>
      </c>
      <c r="K7" s="95"/>
      <c r="L7" s="29" t="s">
        <v>125</v>
      </c>
      <c r="M7" s="27"/>
      <c r="N7" s="27"/>
      <c r="O7" s="27"/>
      <c r="P7" s="27"/>
      <c r="Q7" s="98">
        <v>79669.1</v>
      </c>
      <c r="R7" s="98">
        <v>150832.9</v>
      </c>
      <c r="S7" s="105">
        <v>58072.4</v>
      </c>
      <c r="U7" s="29"/>
      <c r="V7" s="27"/>
      <c r="W7" s="97"/>
      <c r="X7" s="97"/>
      <c r="Y7" s="97"/>
      <c r="Z7" s="97"/>
      <c r="AA7" s="98"/>
      <c r="AB7" s="105"/>
    </row>
    <row r="8" spans="1:28" ht="15.75">
      <c r="A8" s="19" t="s">
        <v>96</v>
      </c>
      <c r="B8" s="19"/>
      <c r="C8" s="19"/>
      <c r="D8" s="19"/>
      <c r="E8" s="20">
        <v>0.012785644495068445</v>
      </c>
      <c r="F8" s="20">
        <v>0.016629243905682472</v>
      </c>
      <c r="G8" s="20">
        <v>0.019814161689604048</v>
      </c>
      <c r="H8" s="20">
        <v>0.02062567422661646</v>
      </c>
      <c r="I8" s="20">
        <v>0.02249275607838656</v>
      </c>
      <c r="J8" s="20">
        <v>0.024774935457870576</v>
      </c>
      <c r="K8" s="20"/>
      <c r="L8" s="29" t="s">
        <v>126</v>
      </c>
      <c r="M8" s="27"/>
      <c r="N8" s="27"/>
      <c r="O8" s="27"/>
      <c r="P8" s="27"/>
      <c r="Q8" s="98">
        <v>75761.3</v>
      </c>
      <c r="R8" s="98">
        <v>163355.2</v>
      </c>
      <c r="S8" s="105">
        <v>62727.8</v>
      </c>
      <c r="U8" s="125" t="s">
        <v>143</v>
      </c>
      <c r="V8" s="113"/>
      <c r="W8" s="97">
        <v>100</v>
      </c>
      <c r="X8" s="117">
        <f>I8/J8*100</f>
        <v>90.78835388546287</v>
      </c>
      <c r="Y8" s="117">
        <f>H8/J8*100</f>
        <v>83.25218147062431</v>
      </c>
      <c r="Z8" s="117">
        <f>G8/J8*100</f>
        <v>79.97664302011098</v>
      </c>
      <c r="AA8" s="102">
        <f>F8/J8*100</f>
        <v>67.1212400692638</v>
      </c>
      <c r="AB8" s="108">
        <f>E8/J8*100</f>
        <v>51.60717579591781</v>
      </c>
    </row>
    <row r="9" spans="1:28" ht="15.75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9" t="s">
        <v>127</v>
      </c>
      <c r="M9" s="27"/>
      <c r="N9" s="27"/>
      <c r="O9" s="27"/>
      <c r="P9" s="27"/>
      <c r="Q9" s="98">
        <v>78603.9</v>
      </c>
      <c r="R9" s="98">
        <v>169955.6</v>
      </c>
      <c r="S9" s="105">
        <v>65156.6</v>
      </c>
      <c r="U9" s="29" t="s">
        <v>97</v>
      </c>
      <c r="V9" s="27"/>
      <c r="W9" s="97">
        <v>100</v>
      </c>
      <c r="X9" s="117">
        <f>I10/J10*100</f>
        <v>91.37931034482759</v>
      </c>
      <c r="Y9" s="117">
        <f>H10/J10*100</f>
        <v>83.62068965517241</v>
      </c>
      <c r="Z9" s="117">
        <f>G10/J10*100</f>
        <v>80.17241379310344</v>
      </c>
      <c r="AA9" s="102">
        <f>F10/J10*100</f>
        <v>83.62068965517241</v>
      </c>
      <c r="AB9" s="108">
        <f>E10/J10*100</f>
        <v>51.622864355125095</v>
      </c>
    </row>
    <row r="10" spans="1:28" ht="16.5" thickBot="1">
      <c r="A10" s="19" t="s">
        <v>97</v>
      </c>
      <c r="B10" s="19"/>
      <c r="C10" s="19"/>
      <c r="D10" s="19"/>
      <c r="E10" s="20">
        <v>0.005988252265194511</v>
      </c>
      <c r="F10" s="20">
        <v>0.0097</v>
      </c>
      <c r="G10" s="20">
        <v>0.0093</v>
      </c>
      <c r="H10" s="20">
        <v>0.0097</v>
      </c>
      <c r="I10" s="20">
        <v>0.0106</v>
      </c>
      <c r="J10" s="20">
        <v>0.0116</v>
      </c>
      <c r="K10" s="20"/>
      <c r="L10" s="34" t="s">
        <v>128</v>
      </c>
      <c r="M10" s="26"/>
      <c r="N10" s="26"/>
      <c r="O10" s="26"/>
      <c r="P10" s="26"/>
      <c r="Q10" s="100">
        <f>Q6/Q5</f>
        <v>0.23550583094710473</v>
      </c>
      <c r="R10" s="100">
        <f>R6/R5</f>
        <v>0.1040724195897327</v>
      </c>
      <c r="S10" s="106">
        <f>S6/S5</f>
        <v>0.12778106484335902</v>
      </c>
      <c r="U10" s="30" t="s">
        <v>98</v>
      </c>
      <c r="V10" s="31"/>
      <c r="W10" s="126">
        <v>100</v>
      </c>
      <c r="X10" s="127">
        <f>I12/J12*100</f>
        <v>90.65934065934066</v>
      </c>
      <c r="Y10" s="127">
        <f>H12/J12*100</f>
        <v>82.96703296703296</v>
      </c>
      <c r="Z10" s="127">
        <f>G12/J12*100</f>
        <v>79.67032967032968</v>
      </c>
      <c r="AA10" s="103">
        <f>F12/J12*100</f>
        <v>66.48351648351648</v>
      </c>
      <c r="AB10" s="109">
        <f>E12/J12*100</f>
        <v>50.81023089164327</v>
      </c>
    </row>
    <row r="11" spans="1:19" ht="16.5" thickTop="1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9" t="s">
        <v>129</v>
      </c>
      <c r="M11" s="27"/>
      <c r="N11" s="27"/>
      <c r="O11" s="27"/>
      <c r="P11" s="27"/>
      <c r="Q11" s="101">
        <v>0.0494934673543444</v>
      </c>
      <c r="R11" s="101">
        <v>0.05176655756138084</v>
      </c>
      <c r="S11" s="107">
        <v>0.06429215944235127</v>
      </c>
    </row>
    <row r="12" spans="1:21" ht="19.5" thickBot="1">
      <c r="A12" s="19" t="s">
        <v>98</v>
      </c>
      <c r="B12" s="19"/>
      <c r="C12" s="19"/>
      <c r="D12" s="19"/>
      <c r="E12" s="36">
        <v>0.009247462022279076</v>
      </c>
      <c r="F12" s="36">
        <v>0.0121</v>
      </c>
      <c r="G12" s="36">
        <v>0.0145</v>
      </c>
      <c r="H12" s="36">
        <v>0.0151</v>
      </c>
      <c r="I12" s="36">
        <v>0.0165</v>
      </c>
      <c r="J12" s="36">
        <v>0.0182</v>
      </c>
      <c r="K12" s="96"/>
      <c r="L12" s="29" t="s">
        <v>130</v>
      </c>
      <c r="M12" s="27"/>
      <c r="N12" s="27"/>
      <c r="O12" s="27"/>
      <c r="P12" s="27"/>
      <c r="Q12" s="101">
        <f>Q11*Q7/Q5</f>
        <v>0.012333113868067491</v>
      </c>
      <c r="R12" s="101">
        <f>R11*R7/R5</f>
        <v>0.005681090592444014</v>
      </c>
      <c r="S12" s="107">
        <f>S11*S7/S5</f>
        <v>0.008602281346394349</v>
      </c>
      <c r="U12" s="35" t="s">
        <v>147</v>
      </c>
    </row>
    <row r="13" spans="1:28" ht="16.5" thickTop="1">
      <c r="A13" s="19"/>
      <c r="B13" s="19"/>
      <c r="C13" s="19"/>
      <c r="D13" s="19"/>
      <c r="F13" s="19"/>
      <c r="G13" s="19"/>
      <c r="H13" s="19"/>
      <c r="I13" s="19"/>
      <c r="J13" s="19"/>
      <c r="K13" s="19"/>
      <c r="L13" s="34" t="s">
        <v>79</v>
      </c>
      <c r="M13" s="26"/>
      <c r="N13" s="26"/>
      <c r="O13" s="26"/>
      <c r="P13" s="26"/>
      <c r="Q13" s="100">
        <v>0.09584421828246448</v>
      </c>
      <c r="R13" s="100">
        <v>0.10064507649403338</v>
      </c>
      <c r="S13" s="106">
        <v>0.09089597746848659</v>
      </c>
      <c r="U13" s="119"/>
      <c r="V13" s="128"/>
      <c r="W13" s="121"/>
      <c r="X13" s="132" t="s">
        <v>134</v>
      </c>
      <c r="Y13" s="135"/>
      <c r="Z13" s="135"/>
      <c r="AA13" s="136"/>
      <c r="AB13" s="122"/>
    </row>
    <row r="14" spans="1:28" ht="31.5">
      <c r="A14" s="19" t="s">
        <v>102</v>
      </c>
      <c r="B14" s="19"/>
      <c r="C14" s="19"/>
      <c r="D14" s="19"/>
      <c r="F14" s="19"/>
      <c r="G14" s="19"/>
      <c r="H14" s="19"/>
      <c r="I14" s="19"/>
      <c r="J14" s="19"/>
      <c r="K14" s="19"/>
      <c r="L14" s="29" t="s">
        <v>100</v>
      </c>
      <c r="M14" s="27"/>
      <c r="N14" s="27"/>
      <c r="O14" s="27"/>
      <c r="P14" s="27"/>
      <c r="Q14" s="102">
        <v>-5</v>
      </c>
      <c r="R14" s="102">
        <v>-5</v>
      </c>
      <c r="S14" s="108">
        <v>-5</v>
      </c>
      <c r="U14" s="123"/>
      <c r="V14" s="118"/>
      <c r="W14" s="110" t="s">
        <v>142</v>
      </c>
      <c r="X14" s="111" t="s">
        <v>120</v>
      </c>
      <c r="Y14" s="111" t="s">
        <v>119</v>
      </c>
      <c r="Z14" s="111" t="s">
        <v>118</v>
      </c>
      <c r="AA14" s="112" t="s">
        <v>122</v>
      </c>
      <c r="AB14" s="124" t="s">
        <v>144</v>
      </c>
    </row>
    <row r="15" spans="12:28" ht="16.5" thickBot="1">
      <c r="L15" s="30" t="s">
        <v>101</v>
      </c>
      <c r="M15" s="31"/>
      <c r="N15" s="31"/>
      <c r="O15" s="31"/>
      <c r="P15" s="31"/>
      <c r="Q15" s="103">
        <v>3.5</v>
      </c>
      <c r="R15" s="103">
        <v>3.5</v>
      </c>
      <c r="S15" s="109">
        <v>3.5</v>
      </c>
      <c r="U15" s="29"/>
      <c r="V15" s="27"/>
      <c r="W15" s="97"/>
      <c r="X15" s="97"/>
      <c r="Y15" s="97"/>
      <c r="Z15" s="97"/>
      <c r="AA15" s="98"/>
      <c r="AB15" s="105"/>
    </row>
    <row r="16" spans="12:28" ht="16.5" thickTop="1">
      <c r="L16" s="25"/>
      <c r="M16" s="25"/>
      <c r="N16" s="25"/>
      <c r="O16" s="25"/>
      <c r="P16" s="25"/>
      <c r="Q16" s="25"/>
      <c r="R16" s="25"/>
      <c r="S16" s="25"/>
      <c r="U16" s="125" t="s">
        <v>143</v>
      </c>
      <c r="V16" s="113"/>
      <c r="W16" s="117">
        <v>31.77</v>
      </c>
      <c r="X16" s="117">
        <v>29.17</v>
      </c>
      <c r="Y16" s="117">
        <v>27.01</v>
      </c>
      <c r="Z16" s="117">
        <v>26.05</v>
      </c>
      <c r="AA16" s="102">
        <v>22.24</v>
      </c>
      <c r="AB16" s="108">
        <v>17.47</v>
      </c>
    </row>
    <row r="17" spans="12:28" ht="15.75">
      <c r="L17" s="25" t="s">
        <v>133</v>
      </c>
      <c r="M17" s="25"/>
      <c r="N17" s="25"/>
      <c r="O17" s="25"/>
      <c r="P17" s="25"/>
      <c r="Q17" s="25"/>
      <c r="R17" s="25"/>
      <c r="S17" s="25"/>
      <c r="U17" s="29" t="s">
        <v>97</v>
      </c>
      <c r="V17" s="27"/>
      <c r="W17" s="117">
        <v>33.53</v>
      </c>
      <c r="X17" s="117">
        <v>30.78</v>
      </c>
      <c r="Y17" s="117">
        <v>28.5</v>
      </c>
      <c r="Z17" s="117">
        <v>27.49</v>
      </c>
      <c r="AA17" s="102">
        <v>23.47</v>
      </c>
      <c r="AB17" s="108">
        <v>18.44</v>
      </c>
    </row>
    <row r="18" spans="13:28" ht="16.5" thickBot="1">
      <c r="M18" s="25"/>
      <c r="N18" s="25"/>
      <c r="O18" s="25"/>
      <c r="P18" s="25"/>
      <c r="Q18" s="25"/>
      <c r="R18" s="25"/>
      <c r="S18" s="25"/>
      <c r="U18" s="30" t="s">
        <v>98</v>
      </c>
      <c r="V18" s="31"/>
      <c r="W18" s="127">
        <v>41.35</v>
      </c>
      <c r="X18" s="127">
        <v>37.97</v>
      </c>
      <c r="Y18" s="127">
        <v>35.15</v>
      </c>
      <c r="Z18" s="127">
        <v>33.91</v>
      </c>
      <c r="AA18" s="103">
        <v>28.95</v>
      </c>
      <c r="AB18" s="109">
        <v>22.74</v>
      </c>
    </row>
    <row r="19" ht="13.5" thickTop="1"/>
    <row r="20" ht="19.5" thickBot="1">
      <c r="U20" s="35" t="s">
        <v>151</v>
      </c>
    </row>
    <row r="21" spans="21:28" ht="16.5" thickTop="1">
      <c r="U21" s="119"/>
      <c r="V21" s="120"/>
      <c r="W21" s="121"/>
      <c r="X21" s="132" t="s">
        <v>134</v>
      </c>
      <c r="Y21" s="135"/>
      <c r="Z21" s="135"/>
      <c r="AA21" s="136"/>
      <c r="AB21" s="122"/>
    </row>
    <row r="22" spans="21:28" ht="31.5">
      <c r="U22" s="123"/>
      <c r="V22" s="118"/>
      <c r="W22" s="110" t="s">
        <v>142</v>
      </c>
      <c r="X22" s="111" t="s">
        <v>120</v>
      </c>
      <c r="Y22" s="111" t="s">
        <v>119</v>
      </c>
      <c r="Z22" s="111" t="s">
        <v>118</v>
      </c>
      <c r="AA22" s="112" t="s">
        <v>122</v>
      </c>
      <c r="AB22" s="124" t="s">
        <v>144</v>
      </c>
    </row>
    <row r="23" spans="21:28" ht="15.75">
      <c r="U23" s="29"/>
      <c r="V23" s="27"/>
      <c r="W23" s="97"/>
      <c r="X23" s="97"/>
      <c r="Y23" s="97"/>
      <c r="Z23" s="97"/>
      <c r="AA23" s="98"/>
      <c r="AB23" s="105"/>
    </row>
    <row r="24" spans="21:28" ht="15.75">
      <c r="U24" s="125" t="s">
        <v>143</v>
      </c>
      <c r="V24" s="113"/>
      <c r="W24" s="117">
        <v>0</v>
      </c>
      <c r="X24" s="117">
        <v>4.62</v>
      </c>
      <c r="Y24" s="117">
        <v>8.48</v>
      </c>
      <c r="Z24" s="117">
        <v>10.18</v>
      </c>
      <c r="AA24" s="102">
        <v>16.96</v>
      </c>
      <c r="AB24" s="108">
        <v>25.46</v>
      </c>
    </row>
    <row r="25" spans="21:28" ht="15.75">
      <c r="U25" s="29" t="s">
        <v>97</v>
      </c>
      <c r="V25" s="27"/>
      <c r="W25" s="117">
        <v>0</v>
      </c>
      <c r="X25" s="117">
        <v>4.64</v>
      </c>
      <c r="Y25" s="117">
        <v>8.49</v>
      </c>
      <c r="Z25" s="117">
        <v>10.2</v>
      </c>
      <c r="AA25" s="102">
        <v>16.98</v>
      </c>
      <c r="AB25" s="108">
        <v>25.48</v>
      </c>
    </row>
    <row r="26" spans="21:28" ht="16.5" thickBot="1">
      <c r="U26" s="30" t="s">
        <v>98</v>
      </c>
      <c r="V26" s="31"/>
      <c r="W26" s="127">
        <v>0</v>
      </c>
      <c r="X26" s="127">
        <v>6.31</v>
      </c>
      <c r="Y26" s="127">
        <v>11.57</v>
      </c>
      <c r="Z26" s="127">
        <v>13.89</v>
      </c>
      <c r="AA26" s="103">
        <v>23.15</v>
      </c>
      <c r="AB26" s="109">
        <v>34.72</v>
      </c>
    </row>
    <row r="27" ht="13.5" thickTop="1"/>
  </sheetData>
  <mergeCells count="3">
    <mergeCell ref="X5:AA5"/>
    <mergeCell ref="X21:AA21"/>
    <mergeCell ref="X13:AA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2"/>
  <sheetViews>
    <sheetView workbookViewId="0" topLeftCell="A1">
      <selection activeCell="H3" sqref="H3"/>
    </sheetView>
  </sheetViews>
  <sheetFormatPr defaultColWidth="9.140625" defaultRowHeight="12.75"/>
  <cols>
    <col min="1" max="1" width="3.7109375" style="0" customWidth="1"/>
  </cols>
  <sheetData>
    <row r="1" ht="13.5" thickBot="1">
      <c r="B1" s="1" t="s">
        <v>141</v>
      </c>
    </row>
    <row r="2" spans="2:8" ht="12.75">
      <c r="B2" s="84"/>
      <c r="C2" s="85"/>
      <c r="D2" s="85"/>
      <c r="E2" s="85"/>
      <c r="F2" s="86" t="s">
        <v>64</v>
      </c>
      <c r="G2" s="86" t="s">
        <v>65</v>
      </c>
      <c r="H2" s="87" t="s">
        <v>66</v>
      </c>
    </row>
    <row r="3" spans="2:8" ht="12.75">
      <c r="B3" s="140" t="s">
        <v>27</v>
      </c>
      <c r="C3" s="138"/>
      <c r="D3" s="138"/>
      <c r="E3" s="139"/>
      <c r="F3" s="16">
        <f>data!B54</f>
        <v>319716.5</v>
      </c>
      <c r="G3" s="16">
        <f>data!C54</f>
        <v>434024.4</v>
      </c>
      <c r="H3" s="88">
        <f>data!D54</f>
        <v>1374401.6</v>
      </c>
    </row>
    <row r="4" spans="2:8" ht="12.75">
      <c r="B4" s="137" t="s">
        <v>20</v>
      </c>
      <c r="C4" s="138"/>
      <c r="D4" s="138"/>
      <c r="E4" s="139"/>
      <c r="F4" s="16">
        <f>data!B55</f>
        <v>75295.1</v>
      </c>
      <c r="G4" s="16">
        <f>data!C55</f>
        <v>55460.1</v>
      </c>
      <c r="H4" s="88">
        <f>data!D55</f>
        <v>143037.3</v>
      </c>
    </row>
    <row r="5" spans="2:8" ht="12.75">
      <c r="B5" s="137" t="s">
        <v>21</v>
      </c>
      <c r="C5" s="138"/>
      <c r="D5" s="138"/>
      <c r="E5" s="139"/>
      <c r="F5" s="16">
        <f>data!B56</f>
        <v>79669.1</v>
      </c>
      <c r="G5" s="16">
        <f>data!C56</f>
        <v>58072.4</v>
      </c>
      <c r="H5" s="88">
        <f>data!D56</f>
        <v>150832.9</v>
      </c>
    </row>
    <row r="6" spans="2:8" ht="12.75">
      <c r="B6" s="137" t="str">
        <f>data!E59</f>
        <v>Value of imports f.o.b basis</v>
      </c>
      <c r="C6" s="138"/>
      <c r="D6" s="138"/>
      <c r="E6" s="139"/>
      <c r="F6" s="16">
        <f>data!B59</f>
        <v>75761.3</v>
      </c>
      <c r="G6" s="16">
        <f>data!C59</f>
        <v>62727.799999999996</v>
      </c>
      <c r="H6" s="88">
        <f>data!D59</f>
        <v>163355.2</v>
      </c>
    </row>
    <row r="7" spans="2:8" ht="12.75">
      <c r="B7" s="137" t="str">
        <f>data!E60</f>
        <v>Value of imports c.i.f. basis</v>
      </c>
      <c r="C7" s="138"/>
      <c r="D7" s="138"/>
      <c r="E7" s="139"/>
      <c r="F7" s="16">
        <f>data!B60</f>
        <v>78603.9</v>
      </c>
      <c r="G7" s="16">
        <f>data!C60</f>
        <v>65156.600000000006</v>
      </c>
      <c r="H7" s="88">
        <f>data!D60</f>
        <v>169955.6</v>
      </c>
    </row>
    <row r="8" spans="2:8" ht="12.75">
      <c r="B8" s="137" t="s">
        <v>0</v>
      </c>
      <c r="C8" s="138"/>
      <c r="D8" s="138"/>
      <c r="E8" s="139"/>
      <c r="F8" s="16">
        <f>data!B57</f>
        <v>0.0494934673543444</v>
      </c>
      <c r="G8" s="16">
        <f>data!C57</f>
        <v>0.06429215944235127</v>
      </c>
      <c r="H8" s="88">
        <f>data!D57</f>
        <v>0.05176655756138084</v>
      </c>
    </row>
    <row r="9" spans="2:8" ht="12.75">
      <c r="B9" s="89" t="s">
        <v>81</v>
      </c>
      <c r="C9" s="16"/>
      <c r="D9" s="16"/>
      <c r="E9" s="16"/>
      <c r="F9" s="16">
        <f>data!B62</f>
        <v>0.09584421828246448</v>
      </c>
      <c r="G9" s="16">
        <f>data!C62</f>
        <v>0.09089597746848659</v>
      </c>
      <c r="H9" s="88">
        <f>data!D62</f>
        <v>0.10064507649403338</v>
      </c>
    </row>
    <row r="10" spans="2:8" ht="12.75">
      <c r="B10" s="137" t="s">
        <v>103</v>
      </c>
      <c r="C10" s="138"/>
      <c r="D10" s="138"/>
      <c r="E10" s="139"/>
      <c r="F10" s="16">
        <f>F4/F3</f>
        <v>0.23550583094710473</v>
      </c>
      <c r="G10" s="16">
        <f>G4/G3</f>
        <v>0.12778106484335902</v>
      </c>
      <c r="H10" s="88">
        <f>H4/H3</f>
        <v>0.1040724195897327</v>
      </c>
    </row>
    <row r="11" spans="2:8" ht="13.5" thickBot="1">
      <c r="B11" s="90" t="s">
        <v>117</v>
      </c>
      <c r="C11" s="91"/>
      <c r="D11" s="91"/>
      <c r="E11" s="91"/>
      <c r="F11" s="92">
        <f>F8*F10</f>
        <v>0.01165600015573828</v>
      </c>
      <c r="G11" s="92">
        <f>G8*G10</f>
        <v>0.008215320594622664</v>
      </c>
      <c r="H11" s="93">
        <f>H8*H10</f>
        <v>0.005387470899244078</v>
      </c>
    </row>
    <row r="14" ht="12.75">
      <c r="B14" s="37" t="s">
        <v>136</v>
      </c>
    </row>
    <row r="15" ht="12.75">
      <c r="B15" t="s">
        <v>49</v>
      </c>
    </row>
    <row r="18" spans="2:6" ht="12.75">
      <c r="B18" s="1" t="s">
        <v>27</v>
      </c>
      <c r="C18" t="s">
        <v>46</v>
      </c>
      <c r="D18" t="s">
        <v>47</v>
      </c>
      <c r="E18" t="s">
        <v>48</v>
      </c>
      <c r="F18" t="s">
        <v>45</v>
      </c>
    </row>
    <row r="19" spans="2:6" ht="12.75">
      <c r="B19" t="s">
        <v>41</v>
      </c>
      <c r="C19">
        <v>243151.2</v>
      </c>
      <c r="D19">
        <v>36746.1</v>
      </c>
      <c r="E19">
        <v>39819.2</v>
      </c>
      <c r="F19">
        <v>319716.5</v>
      </c>
    </row>
    <row r="20" spans="2:6" ht="12.75">
      <c r="B20" t="s">
        <v>42</v>
      </c>
      <c r="C20">
        <v>319628.5</v>
      </c>
      <c r="D20">
        <v>75486.9</v>
      </c>
      <c r="E20">
        <v>38909</v>
      </c>
      <c r="F20">
        <v>434024.4</v>
      </c>
    </row>
    <row r="21" spans="2:6" ht="12.75">
      <c r="B21" t="s">
        <v>43</v>
      </c>
      <c r="C21">
        <v>1103985</v>
      </c>
      <c r="D21">
        <v>122417.8</v>
      </c>
      <c r="E21">
        <v>147998.8</v>
      </c>
      <c r="F21">
        <v>1374401.6</v>
      </c>
    </row>
    <row r="22" spans="2:6" ht="12.75">
      <c r="B22" t="s">
        <v>44</v>
      </c>
      <c r="C22">
        <v>20985082</v>
      </c>
      <c r="D22">
        <v>2152832.8</v>
      </c>
      <c r="E22">
        <v>3048267.8</v>
      </c>
      <c r="F22">
        <v>26186182</v>
      </c>
    </row>
    <row r="23" spans="2:6" ht="12.75">
      <c r="B23" t="s">
        <v>45</v>
      </c>
      <c r="C23">
        <v>22651846</v>
      </c>
      <c r="D23">
        <v>2387483.5</v>
      </c>
      <c r="E23">
        <v>3274994.8</v>
      </c>
      <c r="F23">
        <v>28314325.1</v>
      </c>
    </row>
    <row r="25" spans="2:16" ht="12.75">
      <c r="B25" s="1" t="s">
        <v>53</v>
      </c>
      <c r="P25" t="s">
        <v>58</v>
      </c>
    </row>
    <row r="26" spans="2:21" ht="12.75">
      <c r="B26" s="1" t="s">
        <v>57</v>
      </c>
      <c r="C26" t="s">
        <v>41</v>
      </c>
      <c r="D26" t="s">
        <v>42</v>
      </c>
      <c r="E26" t="s">
        <v>43</v>
      </c>
      <c r="F26" t="s">
        <v>44</v>
      </c>
      <c r="G26" t="s">
        <v>45</v>
      </c>
      <c r="I26" s="1" t="s">
        <v>54</v>
      </c>
      <c r="J26" t="s">
        <v>41</v>
      </c>
      <c r="K26" t="s">
        <v>42</v>
      </c>
      <c r="L26" t="s">
        <v>43</v>
      </c>
      <c r="M26" t="s">
        <v>44</v>
      </c>
      <c r="N26" t="s">
        <v>45</v>
      </c>
      <c r="P26" t="s">
        <v>16</v>
      </c>
      <c r="Q26" t="s">
        <v>41</v>
      </c>
      <c r="R26" t="s">
        <v>42</v>
      </c>
      <c r="S26" t="s">
        <v>43</v>
      </c>
      <c r="T26" t="s">
        <v>44</v>
      </c>
      <c r="U26" t="s">
        <v>45</v>
      </c>
    </row>
    <row r="27" spans="2:21" ht="12.75">
      <c r="B27" t="s">
        <v>50</v>
      </c>
      <c r="C27">
        <v>832.2</v>
      </c>
      <c r="D27">
        <v>403.7</v>
      </c>
      <c r="E27">
        <v>171.9</v>
      </c>
      <c r="F27">
        <v>13932.5</v>
      </c>
      <c r="G27">
        <v>15340.3</v>
      </c>
      <c r="I27" t="s">
        <v>50</v>
      </c>
      <c r="J27">
        <v>888.8</v>
      </c>
      <c r="K27">
        <v>427.4</v>
      </c>
      <c r="L27">
        <v>182.7</v>
      </c>
      <c r="M27">
        <v>15039.7</v>
      </c>
      <c r="N27">
        <v>16538.6</v>
      </c>
      <c r="P27" t="s">
        <v>50</v>
      </c>
      <c r="Q27">
        <v>44.2</v>
      </c>
      <c r="R27">
        <v>193.5</v>
      </c>
      <c r="S27">
        <v>12.9</v>
      </c>
      <c r="T27">
        <v>2367.4</v>
      </c>
      <c r="U27">
        <v>2618</v>
      </c>
    </row>
    <row r="28" spans="2:21" ht="12.75">
      <c r="B28" t="s">
        <v>51</v>
      </c>
      <c r="C28">
        <v>3662.6</v>
      </c>
      <c r="D28">
        <v>1080.1</v>
      </c>
      <c r="E28">
        <v>1882.7</v>
      </c>
      <c r="F28">
        <v>46339.4</v>
      </c>
      <c r="G28">
        <v>52964.8</v>
      </c>
      <c r="I28" t="s">
        <v>51</v>
      </c>
      <c r="J28">
        <v>3796.3</v>
      </c>
      <c r="K28">
        <v>1104.6</v>
      </c>
      <c r="L28">
        <v>2013.5</v>
      </c>
      <c r="M28">
        <v>49416.3</v>
      </c>
      <c r="N28">
        <v>56330.8</v>
      </c>
      <c r="P28" t="s">
        <v>51</v>
      </c>
      <c r="Q28">
        <v>234.7</v>
      </c>
      <c r="R28">
        <v>180.7</v>
      </c>
      <c r="S28">
        <v>220.8</v>
      </c>
      <c r="T28">
        <v>963.4</v>
      </c>
      <c r="U28">
        <v>1599.7</v>
      </c>
    </row>
    <row r="29" spans="2:21" ht="12.75">
      <c r="B29" t="s">
        <v>52</v>
      </c>
      <c r="C29">
        <v>269.3</v>
      </c>
      <c r="D29">
        <v>278.6</v>
      </c>
      <c r="E29">
        <v>893.7</v>
      </c>
      <c r="F29">
        <v>10312.6</v>
      </c>
      <c r="G29">
        <v>11754.1</v>
      </c>
      <c r="I29" t="s">
        <v>52</v>
      </c>
      <c r="J29">
        <v>269.3</v>
      </c>
      <c r="K29">
        <v>278.6</v>
      </c>
      <c r="L29">
        <v>893.7</v>
      </c>
      <c r="M29">
        <v>10312.6</v>
      </c>
      <c r="N29">
        <v>11754.1</v>
      </c>
      <c r="P29" t="s">
        <v>52</v>
      </c>
      <c r="Q29">
        <v>0</v>
      </c>
      <c r="R29">
        <v>0</v>
      </c>
      <c r="S29">
        <v>0</v>
      </c>
      <c r="T29">
        <v>4.2</v>
      </c>
      <c r="U29">
        <v>4.2</v>
      </c>
    </row>
    <row r="30" spans="2:21" ht="12.75">
      <c r="B30" t="s">
        <v>45</v>
      </c>
      <c r="C30">
        <v>4764</v>
      </c>
      <c r="D30">
        <v>1762.4</v>
      </c>
      <c r="E30">
        <v>2948.2</v>
      </c>
      <c r="F30">
        <v>70584.5</v>
      </c>
      <c r="G30">
        <v>80059.1</v>
      </c>
      <c r="I30" t="s">
        <v>45</v>
      </c>
      <c r="J30">
        <v>4954.4</v>
      </c>
      <c r="K30">
        <v>1810.6</v>
      </c>
      <c r="L30">
        <v>3089.9</v>
      </c>
      <c r="M30">
        <v>74768.6</v>
      </c>
      <c r="N30">
        <v>84623.5</v>
      </c>
      <c r="P30" t="s">
        <v>45</v>
      </c>
      <c r="Q30">
        <v>278.9</v>
      </c>
      <c r="R30">
        <v>374.3</v>
      </c>
      <c r="S30">
        <v>233.7</v>
      </c>
      <c r="T30">
        <v>3335.1</v>
      </c>
      <c r="U30">
        <v>4221.9</v>
      </c>
    </row>
    <row r="31" ht="12.75">
      <c r="B31" s="1" t="s">
        <v>55</v>
      </c>
    </row>
    <row r="33" spans="2:21" ht="12.75">
      <c r="B33" s="1" t="s">
        <v>57</v>
      </c>
      <c r="C33" t="s">
        <v>41</v>
      </c>
      <c r="D33" t="s">
        <v>42</v>
      </c>
      <c r="E33" t="s">
        <v>43</v>
      </c>
      <c r="F33" t="s">
        <v>44</v>
      </c>
      <c r="G33" t="s">
        <v>45</v>
      </c>
      <c r="I33" s="1" t="s">
        <v>54</v>
      </c>
      <c r="J33" t="s">
        <v>41</v>
      </c>
      <c r="K33" t="s">
        <v>42</v>
      </c>
      <c r="L33" t="s">
        <v>43</v>
      </c>
      <c r="M33" t="s">
        <v>44</v>
      </c>
      <c r="N33" t="s">
        <v>45</v>
      </c>
      <c r="P33" t="s">
        <v>16</v>
      </c>
      <c r="Q33" t="s">
        <v>41</v>
      </c>
      <c r="R33" t="s">
        <v>42</v>
      </c>
      <c r="S33" t="s">
        <v>43</v>
      </c>
      <c r="T33" t="s">
        <v>44</v>
      </c>
      <c r="U33" t="s">
        <v>45</v>
      </c>
    </row>
    <row r="34" spans="2:21" ht="12.75">
      <c r="B34" t="s">
        <v>50</v>
      </c>
      <c r="C34">
        <v>402</v>
      </c>
      <c r="D34">
        <v>760.9</v>
      </c>
      <c r="E34">
        <v>61.7</v>
      </c>
      <c r="F34">
        <v>7157.8</v>
      </c>
      <c r="G34">
        <v>8382.4</v>
      </c>
      <c r="I34" t="s">
        <v>50</v>
      </c>
      <c r="J34">
        <v>458.8</v>
      </c>
      <c r="K34">
        <v>822.8</v>
      </c>
      <c r="L34">
        <v>68.3</v>
      </c>
      <c r="M34">
        <v>7745.6</v>
      </c>
      <c r="N34">
        <v>9095.4</v>
      </c>
      <c r="P34" t="s">
        <v>50</v>
      </c>
      <c r="Q34">
        <v>17.7</v>
      </c>
      <c r="R34">
        <v>155.7</v>
      </c>
      <c r="S34">
        <v>5.1</v>
      </c>
      <c r="T34">
        <v>808.2</v>
      </c>
      <c r="U34">
        <v>986.7</v>
      </c>
    </row>
    <row r="35" spans="2:21" ht="12.75">
      <c r="B35" t="s">
        <v>51</v>
      </c>
      <c r="C35">
        <v>1020.9</v>
      </c>
      <c r="D35">
        <v>1220.4</v>
      </c>
      <c r="E35">
        <v>512</v>
      </c>
      <c r="F35">
        <v>38573.4</v>
      </c>
      <c r="G35">
        <v>41326.6</v>
      </c>
      <c r="I35" t="s">
        <v>51</v>
      </c>
      <c r="J35">
        <v>1067.3</v>
      </c>
      <c r="K35">
        <v>1308.3</v>
      </c>
      <c r="L35">
        <v>540.2</v>
      </c>
      <c r="M35">
        <v>40460</v>
      </c>
      <c r="N35">
        <v>43375.8</v>
      </c>
      <c r="P35" t="s">
        <v>51</v>
      </c>
      <c r="Q35">
        <v>94.2</v>
      </c>
      <c r="R35">
        <v>358.8</v>
      </c>
      <c r="S35">
        <v>65.7</v>
      </c>
      <c r="T35">
        <v>2740.8</v>
      </c>
      <c r="U35">
        <v>3259.5</v>
      </c>
    </row>
    <row r="36" spans="2:21" ht="12.75">
      <c r="B36" t="s">
        <v>52</v>
      </c>
      <c r="C36">
        <v>286.1</v>
      </c>
      <c r="D36">
        <v>156.4</v>
      </c>
      <c r="E36">
        <v>350.3</v>
      </c>
      <c r="F36">
        <v>7095.8</v>
      </c>
      <c r="G36">
        <v>7888.7</v>
      </c>
      <c r="I36" t="s">
        <v>52</v>
      </c>
      <c r="J36">
        <v>286.1</v>
      </c>
      <c r="K36">
        <v>156.4</v>
      </c>
      <c r="L36">
        <v>350.3</v>
      </c>
      <c r="M36">
        <v>7095.8</v>
      </c>
      <c r="N36">
        <v>7888.7</v>
      </c>
      <c r="P36" t="s">
        <v>52</v>
      </c>
      <c r="Q36">
        <v>0</v>
      </c>
      <c r="R36">
        <v>0</v>
      </c>
      <c r="S36">
        <v>0</v>
      </c>
      <c r="T36">
        <v>1.9</v>
      </c>
      <c r="U36">
        <v>1.9</v>
      </c>
    </row>
    <row r="37" spans="2:21" ht="12.75">
      <c r="B37" t="s">
        <v>45</v>
      </c>
      <c r="C37">
        <v>1709</v>
      </c>
      <c r="D37">
        <v>2137.6</v>
      </c>
      <c r="E37">
        <v>924</v>
      </c>
      <c r="F37">
        <v>52827.1</v>
      </c>
      <c r="G37">
        <v>57597.7</v>
      </c>
      <c r="I37" t="s">
        <v>45</v>
      </c>
      <c r="J37">
        <v>1812.2</v>
      </c>
      <c r="K37">
        <v>2287.5</v>
      </c>
      <c r="L37">
        <v>958.8</v>
      </c>
      <c r="M37">
        <v>55301.4</v>
      </c>
      <c r="N37">
        <v>60359.9</v>
      </c>
      <c r="P37" t="s">
        <v>45</v>
      </c>
      <c r="Q37">
        <v>111.9</v>
      </c>
      <c r="R37">
        <v>514.5</v>
      </c>
      <c r="S37">
        <v>70.8</v>
      </c>
      <c r="T37">
        <v>3550.9</v>
      </c>
      <c r="U37">
        <v>4248.2</v>
      </c>
    </row>
    <row r="38" ht="12.75">
      <c r="B38" s="1" t="s">
        <v>56</v>
      </c>
    </row>
    <row r="39" spans="2:21" ht="12.75">
      <c r="B39" s="1" t="s">
        <v>57</v>
      </c>
      <c r="C39" t="s">
        <v>41</v>
      </c>
      <c r="D39" t="s">
        <v>42</v>
      </c>
      <c r="E39" t="s">
        <v>43</v>
      </c>
      <c r="F39" t="s">
        <v>44</v>
      </c>
      <c r="G39" t="s">
        <v>45</v>
      </c>
      <c r="I39" s="1" t="s">
        <v>54</v>
      </c>
      <c r="J39" t="s">
        <v>41</v>
      </c>
      <c r="K39" t="s">
        <v>42</v>
      </c>
      <c r="L39" t="s">
        <v>43</v>
      </c>
      <c r="M39" t="s">
        <v>44</v>
      </c>
      <c r="N39" t="s">
        <v>45</v>
      </c>
      <c r="P39" t="s">
        <v>16</v>
      </c>
      <c r="Q39" t="s">
        <v>41</v>
      </c>
      <c r="R39" t="s">
        <v>42</v>
      </c>
      <c r="S39" t="s">
        <v>43</v>
      </c>
      <c r="T39" t="s">
        <v>44</v>
      </c>
      <c r="U39" t="s">
        <v>45</v>
      </c>
    </row>
    <row r="40" spans="2:21" ht="12.75">
      <c r="B40" t="s">
        <v>50</v>
      </c>
      <c r="C40">
        <v>962.1</v>
      </c>
      <c r="D40">
        <v>950.9</v>
      </c>
      <c r="E40">
        <v>8734.9</v>
      </c>
      <c r="F40">
        <v>39863.5</v>
      </c>
      <c r="G40">
        <v>50511.4</v>
      </c>
      <c r="I40" t="s">
        <v>50</v>
      </c>
      <c r="J40">
        <v>1015.4</v>
      </c>
      <c r="K40">
        <v>992.3</v>
      </c>
      <c r="L40">
        <v>9391</v>
      </c>
      <c r="M40">
        <v>42852.6</v>
      </c>
      <c r="N40">
        <v>54251.4</v>
      </c>
      <c r="P40" t="s">
        <v>50</v>
      </c>
      <c r="Q40">
        <v>59.7</v>
      </c>
      <c r="R40">
        <v>220.6</v>
      </c>
      <c r="S40">
        <v>758.2</v>
      </c>
      <c r="T40">
        <v>4804.8</v>
      </c>
      <c r="U40">
        <v>5843.3</v>
      </c>
    </row>
    <row r="41" spans="2:21" ht="12.75">
      <c r="B41" t="s">
        <v>51</v>
      </c>
      <c r="C41">
        <v>824.1</v>
      </c>
      <c r="D41">
        <v>439.9</v>
      </c>
      <c r="E41">
        <v>31025.9</v>
      </c>
      <c r="F41">
        <v>74014.6</v>
      </c>
      <c r="G41">
        <v>106304.5</v>
      </c>
      <c r="I41" t="s">
        <v>51</v>
      </c>
      <c r="J41">
        <v>865.1</v>
      </c>
      <c r="K41">
        <v>465.2</v>
      </c>
      <c r="L41">
        <v>32683</v>
      </c>
      <c r="M41">
        <v>78659.9</v>
      </c>
      <c r="N41">
        <v>112673.3</v>
      </c>
      <c r="P41" t="s">
        <v>51</v>
      </c>
      <c r="Q41">
        <v>67.7</v>
      </c>
      <c r="R41">
        <v>154.5</v>
      </c>
      <c r="S41">
        <v>3260</v>
      </c>
      <c r="T41">
        <v>2490.3</v>
      </c>
      <c r="U41">
        <v>5972.5</v>
      </c>
    </row>
    <row r="42" spans="2:21" ht="12.75">
      <c r="B42" t="s">
        <v>52</v>
      </c>
      <c r="C42">
        <v>680.7</v>
      </c>
      <c r="D42">
        <v>596.1</v>
      </c>
      <c r="E42">
        <v>3294</v>
      </c>
      <c r="F42">
        <v>24705.5</v>
      </c>
      <c r="G42">
        <v>29276.2</v>
      </c>
      <c r="I42" t="s">
        <v>52</v>
      </c>
      <c r="J42">
        <v>680.7</v>
      </c>
      <c r="K42">
        <v>596.1</v>
      </c>
      <c r="L42">
        <v>3294</v>
      </c>
      <c r="M42">
        <v>24705.5</v>
      </c>
      <c r="N42">
        <v>29276.2</v>
      </c>
      <c r="P42" t="s">
        <v>52</v>
      </c>
      <c r="Q42">
        <v>0</v>
      </c>
      <c r="R42">
        <v>0</v>
      </c>
      <c r="S42">
        <v>0</v>
      </c>
      <c r="T42">
        <v>10.5</v>
      </c>
      <c r="U42">
        <v>10.5</v>
      </c>
    </row>
    <row r="43" spans="2:21" ht="12.75">
      <c r="B43" t="s">
        <v>45</v>
      </c>
      <c r="C43">
        <v>2466.8</v>
      </c>
      <c r="D43">
        <v>1986.8</v>
      </c>
      <c r="E43">
        <v>43054.8</v>
      </c>
      <c r="F43">
        <v>138583.5</v>
      </c>
      <c r="G43">
        <v>186092.1</v>
      </c>
      <c r="I43" t="s">
        <v>45</v>
      </c>
      <c r="J43">
        <v>2561.3</v>
      </c>
      <c r="K43">
        <v>2053.7</v>
      </c>
      <c r="L43">
        <v>45368</v>
      </c>
      <c r="M43">
        <v>146218</v>
      </c>
      <c r="N43">
        <v>196200.9</v>
      </c>
      <c r="P43" t="s">
        <v>45</v>
      </c>
      <c r="Q43">
        <v>127.4</v>
      </c>
      <c r="R43">
        <v>375.2</v>
      </c>
      <c r="S43">
        <v>4018.2</v>
      </c>
      <c r="T43">
        <v>7305.5</v>
      </c>
      <c r="U43">
        <v>11826.3</v>
      </c>
    </row>
    <row r="45" ht="12.75">
      <c r="B45" s="1" t="s">
        <v>76</v>
      </c>
    </row>
    <row r="46" spans="2:21" ht="12.75">
      <c r="B46" s="1" t="s">
        <v>57</v>
      </c>
      <c r="C46" t="s">
        <v>41</v>
      </c>
      <c r="D46" t="s">
        <v>42</v>
      </c>
      <c r="E46" t="s">
        <v>43</v>
      </c>
      <c r="F46" t="s">
        <v>44</v>
      </c>
      <c r="G46" t="s">
        <v>45</v>
      </c>
      <c r="I46" s="1" t="s">
        <v>54</v>
      </c>
      <c r="J46" t="s">
        <v>41</v>
      </c>
      <c r="K46" t="s">
        <v>42</v>
      </c>
      <c r="L46" t="s">
        <v>43</v>
      </c>
      <c r="M46" t="s">
        <v>44</v>
      </c>
      <c r="N46" t="s">
        <v>45</v>
      </c>
      <c r="P46" t="s">
        <v>16</v>
      </c>
      <c r="Q46" t="s">
        <v>41</v>
      </c>
      <c r="R46" t="s">
        <v>42</v>
      </c>
      <c r="S46" t="s">
        <v>43</v>
      </c>
      <c r="T46" t="s">
        <v>44</v>
      </c>
      <c r="U46" t="s">
        <v>45</v>
      </c>
    </row>
    <row r="47" spans="2:21" ht="12.75">
      <c r="B47" t="s">
        <v>50</v>
      </c>
      <c r="C47">
        <v>5705.2</v>
      </c>
      <c r="D47">
        <v>4326.8</v>
      </c>
      <c r="E47">
        <v>10362.9</v>
      </c>
      <c r="F47">
        <v>369329.1</v>
      </c>
      <c r="G47">
        <v>389724</v>
      </c>
      <c r="I47" t="s">
        <v>50</v>
      </c>
      <c r="J47">
        <v>6104.9</v>
      </c>
      <c r="K47">
        <v>4634</v>
      </c>
      <c r="L47">
        <v>11028.3</v>
      </c>
      <c r="M47">
        <v>391991</v>
      </c>
      <c r="N47">
        <v>413758.2</v>
      </c>
      <c r="P47" t="s">
        <v>50</v>
      </c>
      <c r="Q47">
        <v>689.3</v>
      </c>
      <c r="R47">
        <v>1693.9</v>
      </c>
      <c r="S47">
        <v>524.3</v>
      </c>
      <c r="T47">
        <v>61126.2</v>
      </c>
      <c r="U47">
        <v>64033.8</v>
      </c>
    </row>
    <row r="48" spans="2:21" ht="12.75">
      <c r="B48" t="s">
        <v>51</v>
      </c>
      <c r="C48">
        <v>51597.6</v>
      </c>
      <c r="D48">
        <v>46286.4</v>
      </c>
      <c r="E48">
        <v>117375.4</v>
      </c>
      <c r="F48">
        <v>3759111.3</v>
      </c>
      <c r="G48">
        <v>3974370.5</v>
      </c>
      <c r="I48" t="s">
        <v>51</v>
      </c>
      <c r="J48">
        <v>53842.9</v>
      </c>
      <c r="K48">
        <v>48292.9</v>
      </c>
      <c r="L48">
        <v>123133.8</v>
      </c>
      <c r="M48">
        <v>3935890.5</v>
      </c>
      <c r="N48">
        <v>4161160</v>
      </c>
      <c r="P48" t="s">
        <v>51</v>
      </c>
      <c r="Q48">
        <v>4379.7</v>
      </c>
      <c r="R48">
        <v>12618.8</v>
      </c>
      <c r="S48">
        <v>14743.4</v>
      </c>
      <c r="T48">
        <v>155026</v>
      </c>
      <c r="U48">
        <v>186767.9</v>
      </c>
    </row>
    <row r="49" spans="2:21" ht="12.75">
      <c r="B49" t="s">
        <v>52</v>
      </c>
      <c r="C49">
        <v>14282.7</v>
      </c>
      <c r="D49">
        <v>8365.4</v>
      </c>
      <c r="E49">
        <v>31744.8</v>
      </c>
      <c r="F49">
        <v>920086.8</v>
      </c>
      <c r="G49">
        <v>974479.6</v>
      </c>
      <c r="I49" t="s">
        <v>52</v>
      </c>
      <c r="J49">
        <v>14282.7</v>
      </c>
      <c r="K49">
        <v>8365.4</v>
      </c>
      <c r="L49">
        <v>31744.8</v>
      </c>
      <c r="M49">
        <v>920086.8</v>
      </c>
      <c r="N49">
        <v>974479.6</v>
      </c>
      <c r="P49" t="s">
        <v>52</v>
      </c>
      <c r="Q49">
        <v>0</v>
      </c>
      <c r="R49">
        <v>0</v>
      </c>
      <c r="S49">
        <v>0</v>
      </c>
      <c r="T49">
        <v>598.4</v>
      </c>
      <c r="U49">
        <v>598.4</v>
      </c>
    </row>
    <row r="50" spans="2:21" ht="12.75">
      <c r="B50" t="s">
        <v>45</v>
      </c>
      <c r="C50">
        <v>71585.5</v>
      </c>
      <c r="D50">
        <v>58978.6</v>
      </c>
      <c r="E50">
        <v>159483</v>
      </c>
      <c r="F50">
        <v>5048527</v>
      </c>
      <c r="G50">
        <v>5338574.2</v>
      </c>
      <c r="I50" t="s">
        <v>45</v>
      </c>
      <c r="J50">
        <v>74230.4</v>
      </c>
      <c r="K50">
        <v>61292.3</v>
      </c>
      <c r="L50">
        <v>165906.9</v>
      </c>
      <c r="M50">
        <v>5247968.5</v>
      </c>
      <c r="N50">
        <v>5549397.9</v>
      </c>
      <c r="P50" t="s">
        <v>45</v>
      </c>
      <c r="Q50">
        <v>5069.1</v>
      </c>
      <c r="R50">
        <v>14312.8</v>
      </c>
      <c r="S50">
        <v>15267.7</v>
      </c>
      <c r="T50">
        <v>216750.6</v>
      </c>
      <c r="U50">
        <v>251400.2</v>
      </c>
    </row>
    <row r="53" spans="2:4" ht="12.75">
      <c r="B53" s="10" t="s">
        <v>64</v>
      </c>
      <c r="C53" s="10" t="s">
        <v>65</v>
      </c>
      <c r="D53" s="10" t="s">
        <v>66</v>
      </c>
    </row>
    <row r="54" spans="2:5" ht="12.75">
      <c r="B54">
        <f>F19</f>
        <v>319716.5</v>
      </c>
      <c r="C54">
        <f>F20</f>
        <v>434024.4</v>
      </c>
      <c r="D54">
        <f>F21</f>
        <v>1374401.6</v>
      </c>
      <c r="E54" s="2" t="s">
        <v>27</v>
      </c>
    </row>
    <row r="55" spans="2:5" ht="12.75">
      <c r="B55">
        <f>G30-C30</f>
        <v>75295.1</v>
      </c>
      <c r="C55">
        <f>G37-D37</f>
        <v>55460.1</v>
      </c>
      <c r="D55">
        <f>G43-E43</f>
        <v>143037.3</v>
      </c>
      <c r="E55" t="s">
        <v>20</v>
      </c>
    </row>
    <row r="56" spans="2:5" ht="12.75">
      <c r="B56">
        <f>N30-J30</f>
        <v>79669.1</v>
      </c>
      <c r="C56">
        <f>N37-K37</f>
        <v>58072.4</v>
      </c>
      <c r="D56">
        <f>N43-L43</f>
        <v>150832.9</v>
      </c>
      <c r="E56" t="s">
        <v>21</v>
      </c>
    </row>
    <row r="57" spans="2:5" ht="12.75">
      <c r="B57">
        <f>SUM(R30:T30)/B56</f>
        <v>0.0494934673543444</v>
      </c>
      <c r="C57">
        <f>SUM(Q37,S37:T37)/C56</f>
        <v>0.06429215944235127</v>
      </c>
      <c r="D57">
        <f>SUM(Q43:R43,T43)/D56</f>
        <v>0.05176655756138084</v>
      </c>
      <c r="E57" t="s">
        <v>0</v>
      </c>
    </row>
    <row r="58" spans="2:5" ht="12.75">
      <c r="B58">
        <f>B56/B55-1</f>
        <v>0.05809142958837965</v>
      </c>
      <c r="C58">
        <f>C56/C55-1</f>
        <v>0.04710233122551166</v>
      </c>
      <c r="D58">
        <f>D56/D55-1</f>
        <v>0.054500469457966494</v>
      </c>
      <c r="E58" t="s">
        <v>59</v>
      </c>
    </row>
    <row r="59" spans="2:5" ht="12.75">
      <c r="B59">
        <f>SUM(C37,C43,C50)</f>
        <v>75761.3</v>
      </c>
      <c r="C59">
        <f>SUM(D30,D43,D50)</f>
        <v>62727.799999999996</v>
      </c>
      <c r="D59">
        <f>SUM(E30,E37,E50)</f>
        <v>163355.2</v>
      </c>
      <c r="E59" t="s">
        <v>77</v>
      </c>
    </row>
    <row r="60" spans="2:5" ht="12.75">
      <c r="B60">
        <f>SUM(J37,J43,J50)</f>
        <v>78603.9</v>
      </c>
      <c r="C60">
        <f>SUM(K30,K43,K50)</f>
        <v>65156.600000000006</v>
      </c>
      <c r="D60">
        <f>SUM(L30,L37,L50)</f>
        <v>169955.6</v>
      </c>
      <c r="E60" t="s">
        <v>78</v>
      </c>
    </row>
    <row r="61" spans="2:5" ht="12.75">
      <c r="B61">
        <f>B60/B59-1</f>
        <v>0.03752047549342463</v>
      </c>
      <c r="C61">
        <f>C60/C59-1</f>
        <v>0.03871967453027225</v>
      </c>
      <c r="D61">
        <f>D60/D59-1</f>
        <v>0.04040520289528571</v>
      </c>
      <c r="E61" t="s">
        <v>59</v>
      </c>
    </row>
    <row r="62" spans="2:5" ht="12.75">
      <c r="B62">
        <f>(B60-B59+B56-B55)/B55</f>
        <v>0.09584421828246448</v>
      </c>
      <c r="C62">
        <f>(C60-C59+C56-C55)/C55</f>
        <v>0.09089597746848659</v>
      </c>
      <c r="D62">
        <f>(D60-D59+D56-D55)/D55</f>
        <v>0.10064507649403338</v>
      </c>
      <c r="E62" t="s">
        <v>79</v>
      </c>
    </row>
  </sheetData>
  <mergeCells count="7">
    <mergeCell ref="B8:E8"/>
    <mergeCell ref="B10:E10"/>
    <mergeCell ref="B7:E7"/>
    <mergeCell ref="B3:E3"/>
    <mergeCell ref="B6:E6"/>
    <mergeCell ref="B5:E5"/>
    <mergeCell ref="B4:E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Sitchting IIDE -- Erasmus University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1999-05-05T12:27:34Z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